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trlProps/ctrlProp1.xml" ContentType="application/vnd.ms-excel.controlproperties+xml"/>
  <Override PartName="/xl/drawings/drawing7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RM Burden (SB &amp; Estimator) (RR - calcs 10 yrs, SBs perm)\2026\"/>
    </mc:Choice>
  </mc:AlternateContent>
  <xr:revisionPtr revIDLastSave="0" documentId="13_ncr:1_{B9FFBDCE-E32D-4BCF-A6A8-17ADABCF42A0}" xr6:coauthVersionLast="47" xr6:coauthVersionMax="47" xr10:uidLastSave="{00000000-0000-0000-0000-000000000000}"/>
  <workbookProtection workbookAlgorithmName="SHA-512" workbookHashValue="/bgDuzzxi3pJ+bNTu1t3ahpVI6xCL0+4JZwuS0BFZ5XCKLa2L7Q/DPe1tf8PaY+aLpgRc893/CkOpmRulpbx7Q==" workbookSaltValue="QniRgG3p/Qbb33Z7+pItug==" workbookSpinCount="100000" lockStructure="1"/>
  <bookViews>
    <workbookView xWindow="-120" yWindow="-120" windowWidth="29040" windowHeight="15840" tabRatio="695" firstSheet="12" activeTab="12" xr2:uid="{00000000-000D-0000-FFFF-FFFF00000000}"/>
  </bookViews>
  <sheets>
    <sheet name="Burden Inputs" sheetId="1" state="hidden" r:id="rId1"/>
    <sheet name="Cash &amp; Detail" sheetId="14" state="hidden" r:id="rId2"/>
    <sheet name="Logic" sheetId="12" state="hidden" r:id="rId3"/>
    <sheet name="My Exhibit" sheetId="13" state="hidden" r:id="rId4"/>
    <sheet name="Exhibit 1" sheetId="4" state="hidden" r:id="rId5"/>
    <sheet name="Exhibit 2" sheetId="2" state="hidden" r:id="rId6"/>
    <sheet name="Exhibit 3" sheetId="3" state="hidden" r:id="rId7"/>
    <sheet name="Exhibit 4" sheetId="10" state="hidden" r:id="rId8"/>
    <sheet name="Hist LRs" sheetId="15" state="hidden" r:id="rId9"/>
    <sheet name="Summary" sheetId="11" state="hidden" r:id="rId10"/>
    <sheet name="Disc Fact Premium" sheetId="9" state="hidden" r:id="rId11"/>
    <sheet name="Disc Fact Paid Loss" sheetId="8" state="hidden" r:id="rId12"/>
    <sheet name="Web - Summary" sheetId="7" r:id="rId13"/>
    <sheet name="Web - Disc Fact Premium" sheetId="6" state="hidden" r:id="rId14"/>
    <sheet name="Web - Disc Fact Paid Loss" sheetId="5" state="hidden" r:id="rId15"/>
  </sheets>
  <externalReferences>
    <externalReference r:id="rId16"/>
  </externalReferences>
  <definedNames>
    <definedName name="IQ_ADDIN" hidden="1">"AUTO"</definedName>
    <definedName name="_xlnm.Print_Area" localSheetId="4">'Exhibit 1'!$A$1:$M$37</definedName>
    <definedName name="_xlnm.Print_Area" localSheetId="5">'Exhibit 2'!$A$1:$L$30</definedName>
    <definedName name="_xlnm.Print_Area" localSheetId="6">'Exhibit 3'!$A$1:$O$37</definedName>
    <definedName name="_xlnm.Print_Area" localSheetId="7">'Exhibit 4'!$A$1:$O$21</definedName>
    <definedName name="_xlnm.Print_Area" localSheetId="12">'Web - Summary'!$A$1:$E$44</definedName>
    <definedName name="RATE_EFF_DATE">'[1]Misc Inputs'!$B$4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I13" i="2"/>
  <c r="I12" i="2"/>
  <c r="I11" i="2"/>
  <c r="I10" i="2"/>
  <c r="I9" i="2"/>
  <c r="I8" i="2"/>
  <c r="I7" i="2"/>
  <c r="C6" i="2" l="1"/>
  <c r="G6" i="2"/>
  <c r="K6" i="2" s="1"/>
  <c r="I6" i="2"/>
  <c r="C7" i="2"/>
  <c r="C8" i="2"/>
  <c r="C9" i="2"/>
  <c r="C10" i="2"/>
  <c r="C11" i="2"/>
  <c r="C12" i="2"/>
  <c r="C13" i="2"/>
  <c r="C14" i="2"/>
  <c r="I18" i="1" l="1"/>
  <c r="G17" i="1"/>
  <c r="K17" i="1"/>
  <c r="E6" i="2" s="1"/>
  <c r="L6" i="2" s="1"/>
  <c r="B48" i="4" s="1"/>
  <c r="I19" i="1"/>
  <c r="I20" i="1"/>
  <c r="G9" i="2" s="1"/>
  <c r="K9" i="2" s="1"/>
  <c r="I21" i="1"/>
  <c r="I22" i="1"/>
  <c r="I23" i="1"/>
  <c r="I24" i="1"/>
  <c r="G13" i="2" s="1"/>
  <c r="K13" i="2" s="1"/>
  <c r="I25" i="1"/>
  <c r="K25" i="1" l="1"/>
  <c r="E14" i="2" s="1"/>
  <c r="G14" i="2"/>
  <c r="K14" i="2" s="1"/>
  <c r="K24" i="1"/>
  <c r="E13" i="2" s="1"/>
  <c r="L13" i="2" s="1"/>
  <c r="B41" i="4" s="1"/>
  <c r="K23" i="1"/>
  <c r="E12" i="2" s="1"/>
  <c r="G12" i="2"/>
  <c r="K12" i="2" s="1"/>
  <c r="K22" i="1"/>
  <c r="E11" i="2" s="1"/>
  <c r="G11" i="2"/>
  <c r="K11" i="2" s="1"/>
  <c r="K21" i="1"/>
  <c r="E10" i="2" s="1"/>
  <c r="G10" i="2"/>
  <c r="K10" i="2" s="1"/>
  <c r="K20" i="1"/>
  <c r="E9" i="2" s="1"/>
  <c r="L9" i="2" s="1"/>
  <c r="B45" i="4" s="1"/>
  <c r="K19" i="1"/>
  <c r="E8" i="2" s="1"/>
  <c r="G8" i="2"/>
  <c r="K8" i="2" s="1"/>
  <c r="K18" i="1"/>
  <c r="E7" i="2" s="1"/>
  <c r="G7" i="2"/>
  <c r="K7" i="2" s="1"/>
  <c r="B7" i="7"/>
  <c r="L11" i="2" l="1"/>
  <c r="B43" i="4" s="1"/>
  <c r="L10" i="2"/>
  <c r="B44" i="4" s="1"/>
  <c r="L7" i="2"/>
  <c r="B47" i="4" s="1"/>
  <c r="L14" i="2"/>
  <c r="B40" i="4" s="1"/>
  <c r="L12" i="2"/>
  <c r="B42" i="4" s="1"/>
  <c r="L8" i="2"/>
  <c r="B46" i="4" s="1"/>
  <c r="I5" i="2"/>
  <c r="G5" i="2"/>
  <c r="C5" i="2"/>
  <c r="K16" i="1" l="1"/>
  <c r="E5" i="2" s="1"/>
  <c r="G16" i="1"/>
  <c r="D33" i="7" l="1"/>
  <c r="B35" i="7" s="1"/>
  <c r="AG13" i="5"/>
  <c r="AG14" i="5"/>
  <c r="B9" i="7" l="1"/>
  <c r="K5" i="2" l="1"/>
  <c r="B11" i="7" l="1"/>
  <c r="L5" i="2" l="1"/>
  <c r="B49" i="4" l="1"/>
  <c r="P5" i="2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AN6" i="5"/>
  <c r="AO6" i="5"/>
  <c r="AP6" i="5"/>
  <c r="AN7" i="5"/>
  <c r="AO7" i="5"/>
  <c r="AP7" i="5"/>
  <c r="AN8" i="5"/>
  <c r="AO8" i="5"/>
  <c r="AP8" i="5"/>
  <c r="AN9" i="5"/>
  <c r="AO9" i="5"/>
  <c r="AP9" i="5"/>
  <c r="AN10" i="5"/>
  <c r="AO10" i="5"/>
  <c r="AP10" i="5"/>
  <c r="AN11" i="5"/>
  <c r="AO11" i="5"/>
  <c r="AP11" i="5"/>
  <c r="AN12" i="5"/>
  <c r="AO12" i="5"/>
  <c r="AP12" i="5"/>
  <c r="AN13" i="5"/>
  <c r="AO13" i="5"/>
  <c r="AP13" i="5"/>
  <c r="AN14" i="5"/>
  <c r="AO14" i="5"/>
  <c r="AP14" i="5"/>
  <c r="AN15" i="5"/>
  <c r="AO15" i="5"/>
  <c r="AP15" i="5"/>
  <c r="AN16" i="5"/>
  <c r="AO16" i="5"/>
  <c r="AP16" i="5"/>
  <c r="AN17" i="5"/>
  <c r="AO17" i="5"/>
  <c r="AP17" i="5"/>
  <c r="AN18" i="5"/>
  <c r="AO18" i="5"/>
  <c r="AP18" i="5"/>
  <c r="AN19" i="5"/>
  <c r="AO19" i="5"/>
  <c r="AP19" i="5"/>
  <c r="AN20" i="5"/>
  <c r="AO20" i="5"/>
  <c r="AP20" i="5"/>
  <c r="AN21" i="5"/>
  <c r="AO21" i="5"/>
  <c r="AP21" i="5"/>
  <c r="AN22" i="5"/>
  <c r="AO22" i="5"/>
  <c r="AP22" i="5"/>
  <c r="AN23" i="5"/>
  <c r="AO23" i="5"/>
  <c r="AP23" i="5"/>
  <c r="AN24" i="5"/>
  <c r="AO24" i="5"/>
  <c r="AP24" i="5"/>
  <c r="AN25" i="5"/>
  <c r="AO25" i="5"/>
  <c r="AP25" i="5"/>
  <c r="AN26" i="5"/>
  <c r="AO26" i="5"/>
  <c r="AP26" i="5"/>
  <c r="AN27" i="5"/>
  <c r="AO27" i="5"/>
  <c r="AP27" i="5"/>
  <c r="AN28" i="5"/>
  <c r="AO28" i="5"/>
  <c r="AP28" i="5"/>
  <c r="AN29" i="5"/>
  <c r="AO29" i="5"/>
  <c r="AP29" i="5"/>
  <c r="AN30" i="5"/>
  <c r="AO30" i="5"/>
  <c r="AP30" i="5"/>
  <c r="AN31" i="5"/>
  <c r="AO31" i="5"/>
  <c r="AP31" i="5"/>
  <c r="AN32" i="5"/>
  <c r="AO32" i="5"/>
  <c r="AP32" i="5"/>
  <c r="AN33" i="5"/>
  <c r="AO33" i="5"/>
  <c r="AP33" i="5"/>
  <c r="AN34" i="5"/>
  <c r="AO34" i="5"/>
  <c r="AP34" i="5"/>
  <c r="AN35" i="5"/>
  <c r="AO35" i="5"/>
  <c r="AP35" i="5"/>
  <c r="AN36" i="5"/>
  <c r="AO36" i="5"/>
  <c r="AP36" i="5"/>
  <c r="AN37" i="5"/>
  <c r="AO37" i="5"/>
  <c r="AP37" i="5"/>
  <c r="AN38" i="5"/>
  <c r="AO38" i="5"/>
  <c r="AP38" i="5"/>
  <c r="AN39" i="5"/>
  <c r="AO39" i="5"/>
  <c r="AP39" i="5"/>
  <c r="AN40" i="5"/>
  <c r="AO40" i="5"/>
  <c r="AP40" i="5"/>
  <c r="AN41" i="5"/>
  <c r="AO41" i="5"/>
  <c r="AP41" i="5"/>
  <c r="AN42" i="5"/>
  <c r="AO42" i="5"/>
  <c r="AP42" i="5"/>
  <c r="AN43" i="5"/>
  <c r="AO43" i="5"/>
  <c r="AP43" i="5"/>
  <c r="AN44" i="5"/>
  <c r="AO44" i="5"/>
  <c r="AP44" i="5"/>
  <c r="AN45" i="5"/>
  <c r="AO45" i="5"/>
  <c r="AP45" i="5"/>
  <c r="AN46" i="5"/>
  <c r="AO46" i="5"/>
  <c r="AP46" i="5"/>
  <c r="AN47" i="5"/>
  <c r="AO47" i="5"/>
  <c r="AP47" i="5"/>
  <c r="AN48" i="5"/>
  <c r="AO48" i="5"/>
  <c r="AP48" i="5"/>
  <c r="AN49" i="5"/>
  <c r="AO49" i="5"/>
  <c r="AP49" i="5"/>
  <c r="AN50" i="5"/>
  <c r="AO50" i="5"/>
  <c r="AP50" i="5"/>
  <c r="AN51" i="5"/>
  <c r="AO51" i="5"/>
  <c r="AP51" i="5"/>
  <c r="AN52" i="5"/>
  <c r="AO52" i="5"/>
  <c r="AP52" i="5"/>
  <c r="AN53" i="5"/>
  <c r="AO53" i="5"/>
  <c r="AP53" i="5"/>
  <c r="AN54" i="5"/>
  <c r="AO54" i="5"/>
  <c r="AP54" i="5"/>
  <c r="AN55" i="5"/>
  <c r="AO55" i="5"/>
  <c r="AP55" i="5"/>
  <c r="AN56" i="5"/>
  <c r="AO56" i="5"/>
  <c r="AP56" i="5"/>
  <c r="AN57" i="5"/>
  <c r="AO57" i="5"/>
  <c r="AP57" i="5"/>
  <c r="AN58" i="5"/>
  <c r="AO58" i="5"/>
  <c r="AP58" i="5"/>
  <c r="AN59" i="5"/>
  <c r="AO59" i="5"/>
  <c r="AP59" i="5"/>
  <c r="AN60" i="5"/>
  <c r="AO60" i="5"/>
  <c r="AP60" i="5"/>
  <c r="AN61" i="5"/>
  <c r="AO61" i="5"/>
  <c r="AP61" i="5"/>
  <c r="AN62" i="5"/>
  <c r="AO62" i="5"/>
  <c r="AP62" i="5"/>
  <c r="AN63" i="5"/>
  <c r="AO63" i="5"/>
  <c r="AP63" i="5"/>
  <c r="AN64" i="5"/>
  <c r="AO64" i="5"/>
  <c r="AP64" i="5"/>
  <c r="AN65" i="5"/>
  <c r="AO65" i="5"/>
  <c r="AP65" i="5"/>
  <c r="AN66" i="5"/>
  <c r="AO66" i="5"/>
  <c r="AP66" i="5"/>
  <c r="AN67" i="5"/>
  <c r="AO67" i="5"/>
  <c r="AP67" i="5"/>
  <c r="AN68" i="5"/>
  <c r="AO68" i="5"/>
  <c r="AP68" i="5"/>
  <c r="AN69" i="5"/>
  <c r="AO69" i="5"/>
  <c r="AP69" i="5"/>
  <c r="AN70" i="5"/>
  <c r="AO70" i="5"/>
  <c r="AP70" i="5"/>
  <c r="AN71" i="5"/>
  <c r="AO71" i="5"/>
  <c r="AP71" i="5"/>
  <c r="AN72" i="5"/>
  <c r="AO72" i="5"/>
  <c r="AP72" i="5"/>
  <c r="AN73" i="5"/>
  <c r="AO73" i="5"/>
  <c r="AP73" i="5"/>
  <c r="AN74" i="5"/>
  <c r="AO74" i="5"/>
  <c r="AP74" i="5"/>
  <c r="AN75" i="5"/>
  <c r="AO75" i="5"/>
  <c r="AP75" i="5"/>
  <c r="AN76" i="5"/>
  <c r="AO76" i="5"/>
  <c r="AP76" i="5"/>
  <c r="AN77" i="5"/>
  <c r="AO77" i="5"/>
  <c r="AP77" i="5"/>
  <c r="AN78" i="5"/>
  <c r="AO78" i="5"/>
  <c r="AP78" i="5"/>
  <c r="AN79" i="5"/>
  <c r="AO79" i="5"/>
  <c r="AP79" i="5"/>
  <c r="AN80" i="5"/>
  <c r="AO80" i="5"/>
  <c r="AP80" i="5"/>
  <c r="AN81" i="5"/>
  <c r="AO81" i="5"/>
  <c r="AP81" i="5"/>
  <c r="AN82" i="5"/>
  <c r="AO82" i="5"/>
  <c r="AP82" i="5"/>
  <c r="AN83" i="5"/>
  <c r="AO83" i="5"/>
  <c r="AP83" i="5"/>
  <c r="AN84" i="5"/>
  <c r="AO84" i="5"/>
  <c r="AP84" i="5"/>
  <c r="AN85" i="5"/>
  <c r="AO85" i="5"/>
  <c r="AP85" i="5"/>
  <c r="AN86" i="5"/>
  <c r="AO86" i="5"/>
  <c r="AP86" i="5"/>
  <c r="AN87" i="5"/>
  <c r="AO87" i="5"/>
  <c r="AP87" i="5"/>
  <c r="AN88" i="5"/>
  <c r="AO88" i="5"/>
  <c r="AP88" i="5"/>
  <c r="AN89" i="5"/>
  <c r="AO89" i="5"/>
  <c r="AP89" i="5"/>
  <c r="AN90" i="5"/>
  <c r="AO90" i="5"/>
  <c r="AP90" i="5"/>
  <c r="AN91" i="5"/>
  <c r="AO91" i="5"/>
  <c r="AP91" i="5"/>
  <c r="AN92" i="5"/>
  <c r="AO92" i="5"/>
  <c r="AP92" i="5"/>
  <c r="AN93" i="5"/>
  <c r="AO93" i="5"/>
  <c r="AP93" i="5"/>
  <c r="AN94" i="5"/>
  <c r="AO94" i="5"/>
  <c r="AP94" i="5"/>
  <c r="AN95" i="5"/>
  <c r="AO95" i="5"/>
  <c r="AP95" i="5"/>
  <c r="AN96" i="5"/>
  <c r="AO96" i="5"/>
  <c r="AP96" i="5"/>
  <c r="AN97" i="5"/>
  <c r="AO97" i="5"/>
  <c r="AP97" i="5"/>
  <c r="AN98" i="5"/>
  <c r="AO98" i="5"/>
  <c r="AP98" i="5"/>
  <c r="AN99" i="5"/>
  <c r="AO99" i="5"/>
  <c r="AP99" i="5"/>
  <c r="AN100" i="5"/>
  <c r="AO100" i="5"/>
  <c r="AP100" i="5"/>
  <c r="AN101" i="5"/>
  <c r="AO101" i="5"/>
  <c r="AP101" i="5"/>
  <c r="AN102" i="5"/>
  <c r="AO102" i="5"/>
  <c r="AP102" i="5"/>
  <c r="AN103" i="5"/>
  <c r="AO103" i="5"/>
  <c r="AP103" i="5"/>
  <c r="AN104" i="5"/>
  <c r="AO104" i="5"/>
  <c r="AP104" i="5"/>
  <c r="AN105" i="5"/>
  <c r="AO105" i="5"/>
  <c r="AP105" i="5"/>
  <c r="AN106" i="5"/>
  <c r="AO106" i="5"/>
  <c r="AP106" i="5"/>
  <c r="AN107" i="5"/>
  <c r="AO107" i="5"/>
  <c r="AP107" i="5"/>
  <c r="AN108" i="5"/>
  <c r="AO108" i="5"/>
  <c r="AP108" i="5"/>
  <c r="AN109" i="5"/>
  <c r="AO109" i="5"/>
  <c r="AP109" i="5"/>
  <c r="AN110" i="5"/>
  <c r="AO110" i="5"/>
  <c r="AP110" i="5"/>
  <c r="AN111" i="5"/>
  <c r="AO111" i="5"/>
  <c r="AP111" i="5"/>
  <c r="AN112" i="5"/>
  <c r="AO112" i="5"/>
  <c r="AP112" i="5"/>
  <c r="AN113" i="5"/>
  <c r="AO113" i="5"/>
  <c r="AP113" i="5"/>
  <c r="AN114" i="5"/>
  <c r="AO114" i="5"/>
  <c r="AP114" i="5"/>
  <c r="AN115" i="5"/>
  <c r="AO115" i="5"/>
  <c r="AP115" i="5"/>
  <c r="AN116" i="5"/>
  <c r="AO116" i="5"/>
  <c r="AP116" i="5"/>
  <c r="AN117" i="5"/>
  <c r="AO117" i="5"/>
  <c r="AP117" i="5"/>
  <c r="AN118" i="5"/>
  <c r="AO118" i="5"/>
  <c r="AP118" i="5"/>
  <c r="AN119" i="5"/>
  <c r="AO119" i="5"/>
  <c r="AP119" i="5"/>
  <c r="AN120" i="5"/>
  <c r="AO120" i="5"/>
  <c r="AP120" i="5"/>
  <c r="AN121" i="5"/>
  <c r="AO121" i="5"/>
  <c r="AP121" i="5"/>
  <c r="AN122" i="5"/>
  <c r="AO122" i="5"/>
  <c r="AP122" i="5"/>
  <c r="AN123" i="5"/>
  <c r="AO123" i="5"/>
  <c r="AP123" i="5"/>
  <c r="AN124" i="5"/>
  <c r="AO124" i="5"/>
  <c r="AP124" i="5"/>
  <c r="AN125" i="5"/>
  <c r="AO125" i="5"/>
  <c r="AP125" i="5"/>
  <c r="AN126" i="5"/>
  <c r="AO126" i="5"/>
  <c r="AP126" i="5"/>
  <c r="AN127" i="5"/>
  <c r="AO127" i="5"/>
  <c r="AP127" i="5"/>
  <c r="AN128" i="5"/>
  <c r="AO128" i="5"/>
  <c r="AP128" i="5"/>
  <c r="AN129" i="5"/>
  <c r="AO129" i="5"/>
  <c r="AP129" i="5"/>
  <c r="AN130" i="5"/>
  <c r="AO130" i="5"/>
  <c r="AP130" i="5"/>
  <c r="AN131" i="5"/>
  <c r="AO131" i="5"/>
  <c r="AP131" i="5"/>
  <c r="AN132" i="5"/>
  <c r="AO132" i="5"/>
  <c r="AP132" i="5"/>
  <c r="AN133" i="5"/>
  <c r="AO133" i="5"/>
  <c r="AP133" i="5"/>
  <c r="AN134" i="5"/>
  <c r="AO134" i="5"/>
  <c r="AP134" i="5"/>
  <c r="AN135" i="5"/>
  <c r="AO135" i="5"/>
  <c r="AP135" i="5"/>
  <c r="AN136" i="5"/>
  <c r="AO136" i="5"/>
  <c r="AP136" i="5"/>
  <c r="AN137" i="5"/>
  <c r="AO137" i="5"/>
  <c r="AP137" i="5"/>
  <c r="AN138" i="5"/>
  <c r="AO138" i="5"/>
  <c r="AP138" i="5"/>
  <c r="AN139" i="5"/>
  <c r="AO139" i="5"/>
  <c r="AP139" i="5"/>
  <c r="AN140" i="5"/>
  <c r="AO140" i="5"/>
  <c r="AP140" i="5"/>
  <c r="AN141" i="5"/>
  <c r="AO141" i="5"/>
  <c r="AP141" i="5"/>
  <c r="AN142" i="5"/>
  <c r="AO142" i="5"/>
  <c r="AP142" i="5"/>
  <c r="AN143" i="5"/>
  <c r="AO143" i="5"/>
  <c r="AP143" i="5"/>
  <c r="AN144" i="5"/>
  <c r="AO144" i="5"/>
  <c r="AP144" i="5"/>
  <c r="AN145" i="5"/>
  <c r="AO145" i="5"/>
  <c r="AP145" i="5"/>
  <c r="AN146" i="5"/>
  <c r="AO146" i="5"/>
  <c r="AP146" i="5"/>
  <c r="AN147" i="5"/>
  <c r="AO147" i="5"/>
  <c r="AP147" i="5"/>
  <c r="AN148" i="5"/>
  <c r="AO148" i="5"/>
  <c r="AP148" i="5"/>
  <c r="AN149" i="5"/>
  <c r="AO149" i="5"/>
  <c r="AP149" i="5"/>
  <c r="AN150" i="5"/>
  <c r="AO150" i="5"/>
  <c r="AP150" i="5"/>
  <c r="AN151" i="5"/>
  <c r="AO151" i="5"/>
  <c r="AP151" i="5"/>
  <c r="AN152" i="5"/>
  <c r="AO152" i="5"/>
  <c r="AP152" i="5"/>
  <c r="AO5" i="5"/>
  <c r="AP5" i="5"/>
  <c r="AN5" i="5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10" i="6"/>
  <c r="AJ1" i="5"/>
  <c r="AJ10" i="5"/>
  <c r="AJ11" i="5" s="1"/>
  <c r="AJ12" i="5" s="1"/>
  <c r="AJ13" i="5" s="1"/>
  <c r="AJ14" i="5" s="1"/>
  <c r="AJ15" i="5" s="1"/>
  <c r="AJ16" i="5" s="1"/>
  <c r="C7" i="11" l="1"/>
  <c r="N42" i="13"/>
  <c r="O11" i="12"/>
  <c r="O12" i="12" s="1"/>
  <c r="C6" i="11"/>
  <c r="C26" i="11" s="1"/>
  <c r="B51" i="9"/>
  <c r="P15" i="12"/>
  <c r="O15" i="12"/>
  <c r="N15" i="12"/>
  <c r="P9" i="12"/>
  <c r="O9" i="12"/>
  <c r="N9" i="12"/>
  <c r="N11" i="12" s="1"/>
  <c r="P39" i="12"/>
  <c r="P38" i="12"/>
  <c r="P32" i="12"/>
  <c r="P24" i="12"/>
  <c r="P23" i="12"/>
  <c r="O39" i="12"/>
  <c r="O38" i="12"/>
  <c r="O32" i="12"/>
  <c r="O24" i="12"/>
  <c r="O23" i="12"/>
  <c r="N39" i="12"/>
  <c r="N38" i="12"/>
  <c r="N32" i="12"/>
  <c r="N24" i="12"/>
  <c r="N23" i="12"/>
  <c r="O10" i="12"/>
  <c r="Q39" i="13"/>
  <c r="Q44" i="13"/>
  <c r="Q16" i="13"/>
  <c r="Q15" i="13"/>
  <c r="Q7" i="13"/>
  <c r="Q42" i="13"/>
  <c r="AM9" i="5"/>
  <c r="AG21" i="5"/>
  <c r="AG22" i="5" s="1"/>
  <c r="AG23" i="5" s="1"/>
  <c r="AG24" i="5" s="1"/>
  <c r="B51" i="6"/>
  <c r="AK9" i="8"/>
  <c r="B9" i="8" s="1"/>
  <c r="AK409" i="8"/>
  <c r="AK410" i="8"/>
  <c r="AK411" i="8"/>
  <c r="AK412" i="8"/>
  <c r="AK413" i="8"/>
  <c r="AK414" i="8"/>
  <c r="AK415" i="8"/>
  <c r="AK416" i="8"/>
  <c r="AK417" i="8"/>
  <c r="AK418" i="8"/>
  <c r="AK419" i="8"/>
  <c r="AK420" i="8"/>
  <c r="AK421" i="8"/>
  <c r="AK422" i="8"/>
  <c r="AK423" i="8"/>
  <c r="AK424" i="8"/>
  <c r="AK425" i="8"/>
  <c r="AK426" i="8"/>
  <c r="AK427" i="8"/>
  <c r="AK428" i="8"/>
  <c r="AK429" i="8"/>
  <c r="AK430" i="8"/>
  <c r="AK431" i="8"/>
  <c r="AK432" i="8"/>
  <c r="AK433" i="8"/>
  <c r="AK434" i="8"/>
  <c r="AK435" i="8"/>
  <c r="AK436" i="8"/>
  <c r="AK437" i="8"/>
  <c r="AK438" i="8"/>
  <c r="AK439" i="8"/>
  <c r="AK440" i="8"/>
  <c r="AK441" i="8"/>
  <c r="AK442" i="8"/>
  <c r="AK443" i="8"/>
  <c r="AK10" i="8"/>
  <c r="AK11" i="8"/>
  <c r="AK12" i="8"/>
  <c r="B12" i="8" s="1"/>
  <c r="AK13" i="8"/>
  <c r="B13" i="8" s="1"/>
  <c r="AK14" i="8"/>
  <c r="AK15" i="8"/>
  <c r="AK16" i="8"/>
  <c r="AK16" i="5" s="1"/>
  <c r="B16" i="5" s="1"/>
  <c r="C16" i="5" s="1"/>
  <c r="AK17" i="8"/>
  <c r="B17" i="8" s="1"/>
  <c r="AK18" i="8"/>
  <c r="B18" i="8" s="1"/>
  <c r="AK19" i="8"/>
  <c r="B19" i="8" s="1"/>
  <c r="AK20" i="8"/>
  <c r="B20" i="8" s="1"/>
  <c r="AK21" i="8"/>
  <c r="AK21" i="5" s="1"/>
  <c r="B21" i="5" s="1"/>
  <c r="AK22" i="8"/>
  <c r="AK22" i="5" s="1"/>
  <c r="AK23" i="8"/>
  <c r="AK24" i="8"/>
  <c r="B24" i="8" s="1"/>
  <c r="AK25" i="8"/>
  <c r="B25" i="8" s="1"/>
  <c r="AK26" i="8"/>
  <c r="B26" i="8" s="1"/>
  <c r="AK27" i="8"/>
  <c r="AK28" i="8"/>
  <c r="AK29" i="8"/>
  <c r="AK29" i="5" s="1"/>
  <c r="B29" i="5" s="1"/>
  <c r="AK30" i="8"/>
  <c r="AK30" i="5" s="1"/>
  <c r="AK31" i="8"/>
  <c r="AK31" i="5" s="1"/>
  <c r="B31" i="5" s="1"/>
  <c r="AK32" i="8"/>
  <c r="B32" i="8" s="1"/>
  <c r="AK33" i="8"/>
  <c r="AK33" i="5" s="1"/>
  <c r="B33" i="5" s="1"/>
  <c r="AK34" i="8"/>
  <c r="AK35" i="8"/>
  <c r="AK36" i="8"/>
  <c r="AK37" i="8"/>
  <c r="AK37" i="5" s="1"/>
  <c r="B37" i="5" s="1"/>
  <c r="AK38" i="8"/>
  <c r="AK39" i="8"/>
  <c r="AK40" i="8"/>
  <c r="AK40" i="5" s="1"/>
  <c r="B40" i="5" s="1"/>
  <c r="AK41" i="8"/>
  <c r="B41" i="8" s="1"/>
  <c r="AK42" i="8"/>
  <c r="AK43" i="8"/>
  <c r="B43" i="8" s="1"/>
  <c r="AK44" i="8"/>
  <c r="B44" i="8" s="1"/>
  <c r="AK45" i="8"/>
  <c r="B45" i="8" s="1"/>
  <c r="AK46" i="8"/>
  <c r="B46" i="8" s="1"/>
  <c r="AK47" i="8"/>
  <c r="AK48" i="8"/>
  <c r="AK49" i="8"/>
  <c r="AK50" i="8"/>
  <c r="AK50" i="5" s="1"/>
  <c r="B50" i="5" s="1"/>
  <c r="AK51" i="8"/>
  <c r="AK52" i="8"/>
  <c r="AK52" i="5" s="1"/>
  <c r="B52" i="5" s="1"/>
  <c r="AK53" i="8"/>
  <c r="B53" i="8" s="1"/>
  <c r="AK54" i="8"/>
  <c r="AK55" i="8"/>
  <c r="AK55" i="5" s="1"/>
  <c r="B55" i="5" s="1"/>
  <c r="AK56" i="8"/>
  <c r="B56" i="8" s="1"/>
  <c r="AK57" i="8"/>
  <c r="B57" i="8" s="1"/>
  <c r="AK58" i="8"/>
  <c r="B58" i="8" s="1"/>
  <c r="AK59" i="8"/>
  <c r="AK60" i="8"/>
  <c r="AK61" i="8"/>
  <c r="AK62" i="8"/>
  <c r="AK63" i="8"/>
  <c r="AK64" i="8"/>
  <c r="AK64" i="5" s="1"/>
  <c r="F14" i="5" s="1"/>
  <c r="AK65" i="8"/>
  <c r="AK65" i="5" s="1"/>
  <c r="F15" i="5" s="1"/>
  <c r="AK66" i="8"/>
  <c r="AK67" i="8"/>
  <c r="AK67" i="5" s="1"/>
  <c r="F17" i="5" s="1"/>
  <c r="AK68" i="8"/>
  <c r="AK68" i="5" s="1"/>
  <c r="F18" i="5" s="1"/>
  <c r="G18" i="5" s="1"/>
  <c r="AK69" i="8"/>
  <c r="AK69" i="5" s="1"/>
  <c r="F19" i="5" s="1"/>
  <c r="AK70" i="8"/>
  <c r="AK71" i="8"/>
  <c r="AK72" i="8"/>
  <c r="AK73" i="8"/>
  <c r="AK73" i="5" s="1"/>
  <c r="F23" i="5" s="1"/>
  <c r="AK74" i="8"/>
  <c r="AK74" i="5" s="1"/>
  <c r="F24" i="5" s="1"/>
  <c r="AK75" i="8"/>
  <c r="AK76" i="8"/>
  <c r="AK76" i="5" s="1"/>
  <c r="F26" i="5" s="1"/>
  <c r="AK77" i="8"/>
  <c r="AK77" i="5" s="1"/>
  <c r="F27" i="5" s="1"/>
  <c r="AK78" i="8"/>
  <c r="AK79" i="8"/>
  <c r="AK79" i="5" s="1"/>
  <c r="F29" i="5" s="1"/>
  <c r="G29" i="5" s="1"/>
  <c r="AK80" i="8"/>
  <c r="AK80" i="5" s="1"/>
  <c r="F30" i="5" s="1"/>
  <c r="AK81" i="8"/>
  <c r="AK81" i="5" s="1"/>
  <c r="F31" i="5" s="1"/>
  <c r="AK82" i="8"/>
  <c r="AK82" i="5" s="1"/>
  <c r="AK83" i="8"/>
  <c r="AK84" i="8"/>
  <c r="AK84" i="5" s="1"/>
  <c r="AK85" i="8"/>
  <c r="AK85" i="5" s="1"/>
  <c r="F35" i="5" s="1"/>
  <c r="AK86" i="8"/>
  <c r="AK86" i="5" s="1"/>
  <c r="F36" i="5" s="1"/>
  <c r="AK87" i="8"/>
  <c r="AK88" i="8"/>
  <c r="AK88" i="5" s="1"/>
  <c r="F38" i="5" s="1"/>
  <c r="AK89" i="8"/>
  <c r="F39" i="8" s="1"/>
  <c r="AK90" i="8"/>
  <c r="AK91" i="8"/>
  <c r="F41" i="8" s="1"/>
  <c r="AK92" i="8"/>
  <c r="AK92" i="5" s="1"/>
  <c r="F42" i="5" s="1"/>
  <c r="G42" i="5" s="1"/>
  <c r="AK93" i="8"/>
  <c r="AK93" i="5" s="1"/>
  <c r="F43" i="5" s="1"/>
  <c r="AK94" i="8"/>
  <c r="AK94" i="5" s="1"/>
  <c r="F44" i="5" s="1"/>
  <c r="AK95" i="8"/>
  <c r="AK96" i="8"/>
  <c r="AK96" i="5" s="1"/>
  <c r="F46" i="5" s="1"/>
  <c r="AK97" i="8"/>
  <c r="F47" i="8" s="1"/>
  <c r="AK98" i="8"/>
  <c r="AK98" i="5" s="1"/>
  <c r="F48" i="5" s="1"/>
  <c r="AK99" i="8"/>
  <c r="AK100" i="8"/>
  <c r="AK101" i="8"/>
  <c r="AK101" i="5" s="1"/>
  <c r="F51" i="5" s="1"/>
  <c r="AK102" i="8"/>
  <c r="F52" i="8" s="1"/>
  <c r="AK103" i="8"/>
  <c r="F53" i="8" s="1"/>
  <c r="AK104" i="8"/>
  <c r="AK104" i="5" s="1"/>
  <c r="F54" i="5" s="1"/>
  <c r="G54" i="5" s="1"/>
  <c r="AK105" i="8"/>
  <c r="AK105" i="5" s="1"/>
  <c r="F55" i="5" s="1"/>
  <c r="AK106" i="8"/>
  <c r="F56" i="8" s="1"/>
  <c r="AK107" i="8"/>
  <c r="AK108" i="8"/>
  <c r="AK109" i="8"/>
  <c r="J9" i="8" s="1"/>
  <c r="AK110" i="8"/>
  <c r="AK110" i="5" s="1"/>
  <c r="J10" i="5" s="1"/>
  <c r="AK111" i="8"/>
  <c r="AK112" i="8"/>
  <c r="AK113" i="8"/>
  <c r="AK113" i="5" s="1"/>
  <c r="J13" i="5" s="1"/>
  <c r="AK114" i="8"/>
  <c r="AK115" i="8"/>
  <c r="J15" i="8" s="1"/>
  <c r="AK116" i="8"/>
  <c r="AK116" i="5" s="1"/>
  <c r="J16" i="5" s="1"/>
  <c r="AK117" i="8"/>
  <c r="AK117" i="5" s="1"/>
  <c r="J17" i="5" s="1"/>
  <c r="AK118" i="8"/>
  <c r="AK118" i="5" s="1"/>
  <c r="J18" i="5" s="1"/>
  <c r="AK119" i="8"/>
  <c r="AK120" i="8"/>
  <c r="AK121" i="8"/>
  <c r="AK121" i="5" s="1"/>
  <c r="J21" i="5" s="1"/>
  <c r="AK122" i="8"/>
  <c r="J22" i="8" s="1"/>
  <c r="AK123" i="8"/>
  <c r="AK124" i="8"/>
  <c r="AK124" i="5" s="1"/>
  <c r="J24" i="5" s="1"/>
  <c r="AK125" i="8"/>
  <c r="J25" i="8" s="1"/>
  <c r="AK126" i="8"/>
  <c r="J26" i="8" s="1"/>
  <c r="AK127" i="8"/>
  <c r="AK127" i="5" s="1"/>
  <c r="J27" i="5" s="1"/>
  <c r="K27" i="5" s="1"/>
  <c r="AK128" i="8"/>
  <c r="AK128" i="5" s="1"/>
  <c r="J28" i="5" s="1"/>
  <c r="K28" i="5" s="1"/>
  <c r="AK129" i="8"/>
  <c r="J29" i="8" s="1"/>
  <c r="AK130" i="8"/>
  <c r="J30" i="8" s="1"/>
  <c r="AK131" i="8"/>
  <c r="AK132" i="8"/>
  <c r="AK133" i="8"/>
  <c r="J33" i="8" s="1"/>
  <c r="AK134" i="8"/>
  <c r="AK134" i="5" s="1"/>
  <c r="J34" i="5" s="1"/>
  <c r="AK135" i="8"/>
  <c r="AK136" i="8"/>
  <c r="J36" i="8" s="1"/>
  <c r="AK137" i="8"/>
  <c r="J37" i="8" s="1"/>
  <c r="AK138" i="8"/>
  <c r="J38" i="8" s="1"/>
  <c r="AK139" i="8"/>
  <c r="AK139" i="5" s="1"/>
  <c r="J39" i="5" s="1"/>
  <c r="K39" i="5" s="1"/>
  <c r="AK140" i="8"/>
  <c r="J40" i="8" s="1"/>
  <c r="AK141" i="8"/>
  <c r="AK141" i="5" s="1"/>
  <c r="J41" i="5" s="1"/>
  <c r="K41" i="5" s="1"/>
  <c r="AK142" i="8"/>
  <c r="AK142" i="5" s="1"/>
  <c r="J42" i="5" s="1"/>
  <c r="AK143" i="8"/>
  <c r="AK144" i="8"/>
  <c r="AK145" i="8"/>
  <c r="AK145" i="5" s="1"/>
  <c r="J45" i="5" s="1"/>
  <c r="AK146" i="8"/>
  <c r="AK146" i="5" s="1"/>
  <c r="J46" i="5" s="1"/>
  <c r="AK147" i="8"/>
  <c r="AK148" i="8"/>
  <c r="J48" i="8" s="1"/>
  <c r="AK149" i="8"/>
  <c r="J49" i="8" s="1"/>
  <c r="AK150" i="8"/>
  <c r="AK150" i="5" s="1"/>
  <c r="J50" i="5" s="1"/>
  <c r="AK151" i="8"/>
  <c r="J51" i="8" s="1"/>
  <c r="AK152" i="8"/>
  <c r="AK152" i="5" s="1"/>
  <c r="J52" i="5" s="1"/>
  <c r="AK153" i="8"/>
  <c r="AK154" i="8"/>
  <c r="AK155" i="8"/>
  <c r="AK155" i="5" s="1"/>
  <c r="AK156" i="8"/>
  <c r="AK157" i="8"/>
  <c r="AK158" i="8"/>
  <c r="AK158" i="5" s="1"/>
  <c r="AK159" i="8"/>
  <c r="AK160" i="8"/>
  <c r="AK161" i="8"/>
  <c r="AK161" i="5" s="1"/>
  <c r="AK162" i="8"/>
  <c r="AK163" i="8"/>
  <c r="AK164" i="8"/>
  <c r="AK164" i="5" s="1"/>
  <c r="AK165" i="8"/>
  <c r="AK166" i="8"/>
  <c r="AK167" i="8"/>
  <c r="AK167" i="5" s="1"/>
  <c r="AK168" i="8"/>
  <c r="AK169" i="8"/>
  <c r="AK170" i="8"/>
  <c r="AK170" i="5" s="1"/>
  <c r="AK171" i="8"/>
  <c r="AK172" i="8"/>
  <c r="AK173" i="8"/>
  <c r="AK173" i="5" s="1"/>
  <c r="AK174" i="8"/>
  <c r="AK175" i="8"/>
  <c r="AK176" i="8"/>
  <c r="AK176" i="5" s="1"/>
  <c r="AK177" i="8"/>
  <c r="AK178" i="8"/>
  <c r="AK179" i="8"/>
  <c r="AK179" i="5" s="1"/>
  <c r="AK180" i="8"/>
  <c r="AK181" i="8"/>
  <c r="AK182" i="8"/>
  <c r="AK182" i="5" s="1"/>
  <c r="AK183" i="8"/>
  <c r="AK184" i="8"/>
  <c r="AK185" i="8"/>
  <c r="AK185" i="5" s="1"/>
  <c r="AK186" i="8"/>
  <c r="AK187" i="8"/>
  <c r="AK188" i="8"/>
  <c r="AK188" i="5" s="1"/>
  <c r="AK189" i="8"/>
  <c r="AK190" i="8"/>
  <c r="AK191" i="8"/>
  <c r="AK191" i="5" s="1"/>
  <c r="AK192" i="8"/>
  <c r="AK193" i="8"/>
  <c r="AK194" i="8"/>
  <c r="AK194" i="5" s="1"/>
  <c r="AK195" i="8"/>
  <c r="AK196" i="8"/>
  <c r="AK197" i="8"/>
  <c r="AK197" i="5" s="1"/>
  <c r="AK198" i="8"/>
  <c r="AK199" i="8"/>
  <c r="AK200" i="8"/>
  <c r="AK200" i="5" s="1"/>
  <c r="AK201" i="8"/>
  <c r="AK202" i="8"/>
  <c r="AK203" i="8"/>
  <c r="AK203" i="5" s="1"/>
  <c r="AK204" i="8"/>
  <c r="AK205" i="8"/>
  <c r="AK206" i="8"/>
  <c r="AK207" i="8"/>
  <c r="AK208" i="8"/>
  <c r="AK209" i="8"/>
  <c r="AK209" i="5" s="1"/>
  <c r="AK210" i="8"/>
  <c r="AK211" i="8"/>
  <c r="AK212" i="8"/>
  <c r="AK212" i="5" s="1"/>
  <c r="AK213" i="8"/>
  <c r="AK214" i="8"/>
  <c r="AK215" i="8"/>
  <c r="AK215" i="5" s="1"/>
  <c r="AK216" i="8"/>
  <c r="AK217" i="8"/>
  <c r="AK218" i="8"/>
  <c r="AK218" i="5" s="1"/>
  <c r="AK219" i="8"/>
  <c r="AK220" i="8"/>
  <c r="AK221" i="8"/>
  <c r="AK221" i="5" s="1"/>
  <c r="AK222" i="8"/>
  <c r="AK223" i="8"/>
  <c r="AK224" i="8"/>
  <c r="AK224" i="5" s="1"/>
  <c r="AK225" i="8"/>
  <c r="AK226" i="8"/>
  <c r="AK227" i="8"/>
  <c r="AK227" i="5" s="1"/>
  <c r="AK228" i="8"/>
  <c r="AK229" i="8"/>
  <c r="AK230" i="8"/>
  <c r="AK230" i="5" s="1"/>
  <c r="AK231" i="8"/>
  <c r="AK232" i="8"/>
  <c r="AK233" i="8"/>
  <c r="AK233" i="5" s="1"/>
  <c r="AK234" i="8"/>
  <c r="AK235" i="8"/>
  <c r="AK236" i="8"/>
  <c r="AK236" i="5" s="1"/>
  <c r="AK237" i="8"/>
  <c r="AK238" i="8"/>
  <c r="AK239" i="8"/>
  <c r="AK239" i="5" s="1"/>
  <c r="AK240" i="8"/>
  <c r="AK241" i="8"/>
  <c r="AK242" i="8"/>
  <c r="AK242" i="5" s="1"/>
  <c r="AK243" i="8"/>
  <c r="AK244" i="8"/>
  <c r="AK245" i="8"/>
  <c r="AK245" i="5" s="1"/>
  <c r="AK246" i="8"/>
  <c r="AK247" i="8"/>
  <c r="AK248" i="8"/>
  <c r="AK248" i="5" s="1"/>
  <c r="AK249" i="8"/>
  <c r="AK250" i="8"/>
  <c r="AK251" i="8"/>
  <c r="AK251" i="5" s="1"/>
  <c r="AK252" i="8"/>
  <c r="AK253" i="8"/>
  <c r="AK254" i="8"/>
  <c r="AK254" i="5" s="1"/>
  <c r="AK255" i="8"/>
  <c r="AK256" i="8"/>
  <c r="AK257" i="8"/>
  <c r="AK257" i="5" s="1"/>
  <c r="AK258" i="8"/>
  <c r="AK259" i="8"/>
  <c r="AK260" i="8"/>
  <c r="AK260" i="5" s="1"/>
  <c r="AK261" i="8"/>
  <c r="AK262" i="8"/>
  <c r="AK263" i="8"/>
  <c r="AK263" i="5" s="1"/>
  <c r="AK264" i="8"/>
  <c r="AK265" i="8"/>
  <c r="AK266" i="8"/>
  <c r="AK266" i="5" s="1"/>
  <c r="AK267" i="8"/>
  <c r="AK268" i="8"/>
  <c r="AK269" i="8"/>
  <c r="AK269" i="5" s="1"/>
  <c r="AK270" i="8"/>
  <c r="AK271" i="8"/>
  <c r="AK272" i="8"/>
  <c r="AK272" i="5" s="1"/>
  <c r="AK273" i="8"/>
  <c r="AK274" i="8"/>
  <c r="AK275" i="8"/>
  <c r="AK275" i="5" s="1"/>
  <c r="AK276" i="8"/>
  <c r="AK277" i="8"/>
  <c r="AK278" i="8"/>
  <c r="AK278" i="5" s="1"/>
  <c r="AK279" i="8"/>
  <c r="AK280" i="8"/>
  <c r="AK281" i="8"/>
  <c r="AK281" i="5" s="1"/>
  <c r="AK282" i="8"/>
  <c r="AK283" i="8"/>
  <c r="AK284" i="8"/>
  <c r="AK284" i="5" s="1"/>
  <c r="AK285" i="8"/>
  <c r="AK286" i="8"/>
  <c r="AK287" i="8"/>
  <c r="AK287" i="5" s="1"/>
  <c r="AK288" i="8"/>
  <c r="AK289" i="8"/>
  <c r="AK290" i="8"/>
  <c r="AK290" i="5" s="1"/>
  <c r="AK291" i="8"/>
  <c r="AK292" i="8"/>
  <c r="AK293" i="8"/>
  <c r="AK293" i="5" s="1"/>
  <c r="AK294" i="8"/>
  <c r="AK295" i="8"/>
  <c r="AK296" i="8"/>
  <c r="AK296" i="5" s="1"/>
  <c r="AK297" i="8"/>
  <c r="AK298" i="8"/>
  <c r="AK299" i="8"/>
  <c r="AK299" i="5" s="1"/>
  <c r="AK300" i="8"/>
  <c r="AK301" i="8"/>
  <c r="AK302" i="8"/>
  <c r="AK302" i="5" s="1"/>
  <c r="AK303" i="8"/>
  <c r="AK304" i="8"/>
  <c r="AK305" i="8"/>
  <c r="AK305" i="5" s="1"/>
  <c r="AK306" i="8"/>
  <c r="AK307" i="8"/>
  <c r="AK308" i="8"/>
  <c r="AK308" i="5" s="1"/>
  <c r="AK309" i="8"/>
  <c r="AK310" i="8"/>
  <c r="AK311" i="8"/>
  <c r="AK311" i="5" s="1"/>
  <c r="AK312" i="8"/>
  <c r="AK313" i="8"/>
  <c r="AK314" i="8"/>
  <c r="AK314" i="5" s="1"/>
  <c r="AK315" i="8"/>
  <c r="AK316" i="8"/>
  <c r="AK317" i="8"/>
  <c r="AK317" i="5" s="1"/>
  <c r="AK318" i="8"/>
  <c r="AK319" i="8"/>
  <c r="AK320" i="8"/>
  <c r="AK320" i="5" s="1"/>
  <c r="AK321" i="8"/>
  <c r="AK322" i="8"/>
  <c r="AK323" i="8"/>
  <c r="AK323" i="5" s="1"/>
  <c r="AK324" i="8"/>
  <c r="AK325" i="8"/>
  <c r="AK326" i="8"/>
  <c r="AK326" i="5" s="1"/>
  <c r="AK327" i="8"/>
  <c r="AK328" i="8"/>
  <c r="AK329" i="8"/>
  <c r="AK329" i="5" s="1"/>
  <c r="AK330" i="8"/>
  <c r="AK331" i="8"/>
  <c r="AK332" i="8"/>
  <c r="AK332" i="5" s="1"/>
  <c r="AK333" i="8"/>
  <c r="AK334" i="8"/>
  <c r="AK335" i="8"/>
  <c r="AK335" i="5" s="1"/>
  <c r="AK336" i="8"/>
  <c r="AK337" i="8"/>
  <c r="AK338" i="8"/>
  <c r="AK338" i="5" s="1"/>
  <c r="AK339" i="8"/>
  <c r="AK340" i="8"/>
  <c r="AK341" i="8"/>
  <c r="AK341" i="5" s="1"/>
  <c r="AK342" i="8"/>
  <c r="AK343" i="8"/>
  <c r="AK344" i="8"/>
  <c r="AK344" i="5" s="1"/>
  <c r="AK345" i="8"/>
  <c r="AK346" i="8"/>
  <c r="AK347" i="8"/>
  <c r="AK347" i="5" s="1"/>
  <c r="AK348" i="8"/>
  <c r="AK349" i="8"/>
  <c r="AK350" i="8"/>
  <c r="AK350" i="5" s="1"/>
  <c r="AK351" i="8"/>
  <c r="AK352" i="8"/>
  <c r="AK353" i="8"/>
  <c r="AK353" i="5" s="1"/>
  <c r="AK354" i="8"/>
  <c r="AK355" i="8"/>
  <c r="AK356" i="8"/>
  <c r="AK357" i="8"/>
  <c r="AK358" i="8"/>
  <c r="AK359" i="8"/>
  <c r="AK359" i="5" s="1"/>
  <c r="AK360" i="8"/>
  <c r="AK361" i="8"/>
  <c r="AK362" i="8"/>
  <c r="AK362" i="5" s="1"/>
  <c r="AK363" i="8"/>
  <c r="AK364" i="8"/>
  <c r="AK365" i="8"/>
  <c r="AK365" i="5" s="1"/>
  <c r="AK366" i="8"/>
  <c r="AK367" i="8"/>
  <c r="AK368" i="8"/>
  <c r="AK368" i="5" s="1"/>
  <c r="AK369" i="8"/>
  <c r="AK370" i="8"/>
  <c r="AK371" i="8"/>
  <c r="AK371" i="5" s="1"/>
  <c r="AK372" i="8"/>
  <c r="AK373" i="8"/>
  <c r="AK374" i="8"/>
  <c r="AK374" i="5" s="1"/>
  <c r="AK375" i="8"/>
  <c r="AK376" i="8"/>
  <c r="AK377" i="8"/>
  <c r="AK377" i="5" s="1"/>
  <c r="AK378" i="8"/>
  <c r="AK379" i="8"/>
  <c r="AK380" i="8"/>
  <c r="AK380" i="5" s="1"/>
  <c r="AK381" i="8"/>
  <c r="AK382" i="8"/>
  <c r="AK383" i="8"/>
  <c r="AK383" i="5" s="1"/>
  <c r="AK384" i="8"/>
  <c r="AK385" i="8"/>
  <c r="AK386" i="8"/>
  <c r="AK386" i="5" s="1"/>
  <c r="AK387" i="8"/>
  <c r="AK388" i="8"/>
  <c r="AK389" i="8"/>
  <c r="AK389" i="5" s="1"/>
  <c r="AK390" i="8"/>
  <c r="AK391" i="8"/>
  <c r="AK392" i="8"/>
  <c r="AK392" i="5" s="1"/>
  <c r="AK393" i="8"/>
  <c r="AK394" i="8"/>
  <c r="AK395" i="8"/>
  <c r="AK395" i="5" s="1"/>
  <c r="AK396" i="8"/>
  <c r="AK397" i="8"/>
  <c r="AK398" i="8"/>
  <c r="AK398" i="5" s="1"/>
  <c r="AK399" i="8"/>
  <c r="AK400" i="8"/>
  <c r="AK401" i="8"/>
  <c r="AK401" i="5" s="1"/>
  <c r="AK402" i="8"/>
  <c r="AK403" i="8"/>
  <c r="AK404" i="8"/>
  <c r="AK404" i="5" s="1"/>
  <c r="AK405" i="8"/>
  <c r="AK406" i="8"/>
  <c r="AK407" i="8"/>
  <c r="AK408" i="8"/>
  <c r="K669" i="14"/>
  <c r="O650" i="14"/>
  <c r="M650" i="14"/>
  <c r="K650" i="14"/>
  <c r="K662" i="14"/>
  <c r="M661" i="14"/>
  <c r="K661" i="14"/>
  <c r="V418" i="14"/>
  <c r="Z417" i="14"/>
  <c r="T418" i="14"/>
  <c r="R418" i="14"/>
  <c r="P418" i="14"/>
  <c r="H418" i="14"/>
  <c r="E417" i="14"/>
  <c r="C418" i="14"/>
  <c r="G417" i="14"/>
  <c r="B418" i="14"/>
  <c r="V461" i="14"/>
  <c r="Z460" i="14"/>
  <c r="AB460" i="14"/>
  <c r="T461" i="14"/>
  <c r="R461" i="14"/>
  <c r="P461" i="14"/>
  <c r="H24" i="13" s="1"/>
  <c r="H461" i="14"/>
  <c r="E460" i="14"/>
  <c r="C461" i="14"/>
  <c r="G460" i="14"/>
  <c r="V500" i="14"/>
  <c r="Z499" i="14"/>
  <c r="AB499" i="14" s="1"/>
  <c r="T500" i="14"/>
  <c r="R500" i="14"/>
  <c r="P500" i="14"/>
  <c r="H500" i="14"/>
  <c r="E499" i="14"/>
  <c r="C500" i="14"/>
  <c r="G499" i="14"/>
  <c r="B500" i="14"/>
  <c r="V535" i="14"/>
  <c r="Z534" i="14"/>
  <c r="T535" i="14"/>
  <c r="R535" i="14"/>
  <c r="P535" i="14"/>
  <c r="H535" i="14"/>
  <c r="J12" i="13" s="1"/>
  <c r="E534" i="14"/>
  <c r="G534" i="14"/>
  <c r="C535" i="14"/>
  <c r="B535" i="14"/>
  <c r="V566" i="14"/>
  <c r="Z565" i="14"/>
  <c r="AB565" i="14" s="1"/>
  <c r="T566" i="14"/>
  <c r="R566" i="14"/>
  <c r="P566" i="14"/>
  <c r="H566" i="14"/>
  <c r="E565" i="14"/>
  <c r="G565" i="14" s="1"/>
  <c r="C566" i="14"/>
  <c r="B566" i="14"/>
  <c r="C616" i="14"/>
  <c r="D616" i="14"/>
  <c r="F616" i="14"/>
  <c r="H616" i="14"/>
  <c r="I616" i="14"/>
  <c r="J616" i="14"/>
  <c r="L616" i="14"/>
  <c r="N616" i="14"/>
  <c r="O616" i="14"/>
  <c r="P616" i="14"/>
  <c r="Q616" i="14"/>
  <c r="R616" i="14"/>
  <c r="S616" i="14"/>
  <c r="T616" i="14"/>
  <c r="U616" i="14"/>
  <c r="V616" i="14"/>
  <c r="W616" i="14"/>
  <c r="X616" i="14"/>
  <c r="Y616" i="14"/>
  <c r="B616" i="14"/>
  <c r="Z615" i="14"/>
  <c r="AB615" i="14" s="1"/>
  <c r="E615" i="14"/>
  <c r="G615" i="14"/>
  <c r="V593" i="14"/>
  <c r="Q26" i="13"/>
  <c r="Z592" i="14"/>
  <c r="AB592" i="14" s="1"/>
  <c r="T593" i="14"/>
  <c r="Q23" i="13"/>
  <c r="R593" i="14"/>
  <c r="P593" i="14"/>
  <c r="Q24" i="13"/>
  <c r="J593" i="14"/>
  <c r="H593" i="14"/>
  <c r="E592" i="14"/>
  <c r="C593" i="14"/>
  <c r="B593" i="14"/>
  <c r="V635" i="14"/>
  <c r="Z634" i="14"/>
  <c r="T635" i="14"/>
  <c r="R635" i="14"/>
  <c r="P635" i="14"/>
  <c r="J635" i="14"/>
  <c r="H635" i="14"/>
  <c r="N12" i="13" s="1"/>
  <c r="E634" i="14"/>
  <c r="G634" i="14"/>
  <c r="C635" i="14"/>
  <c r="B635" i="14"/>
  <c r="V650" i="14"/>
  <c r="Z649" i="14"/>
  <c r="AB649" i="14" s="1"/>
  <c r="T650" i="14"/>
  <c r="R650" i="14"/>
  <c r="P650" i="14"/>
  <c r="J650" i="14"/>
  <c r="H650" i="14"/>
  <c r="O12" i="13" s="1"/>
  <c r="E649" i="14"/>
  <c r="G649" i="14" s="1"/>
  <c r="C650" i="14"/>
  <c r="Z651" i="14" s="1"/>
  <c r="B650" i="14"/>
  <c r="V661" i="14"/>
  <c r="Z660" i="14"/>
  <c r="AB660" i="14" s="1"/>
  <c r="T661" i="14"/>
  <c r="R661" i="14"/>
  <c r="P661" i="14"/>
  <c r="J661" i="14"/>
  <c r="H661" i="14"/>
  <c r="P12" i="13" s="1"/>
  <c r="E660" i="14"/>
  <c r="G660" i="14"/>
  <c r="C661" i="14"/>
  <c r="Z662" i="14" s="1"/>
  <c r="B661" i="14"/>
  <c r="Z667" i="14"/>
  <c r="C668" i="14"/>
  <c r="D668" i="14"/>
  <c r="F668" i="14"/>
  <c r="H668" i="14"/>
  <c r="I668" i="14"/>
  <c r="J668" i="14"/>
  <c r="K668" i="14"/>
  <c r="L668" i="14"/>
  <c r="M668" i="14"/>
  <c r="N668" i="14"/>
  <c r="O668" i="14"/>
  <c r="P668" i="14"/>
  <c r="Q668" i="14"/>
  <c r="R668" i="14"/>
  <c r="S668" i="14"/>
  <c r="T668" i="14"/>
  <c r="U668" i="14"/>
  <c r="V668" i="14"/>
  <c r="W668" i="14"/>
  <c r="X668" i="14"/>
  <c r="Y668" i="14"/>
  <c r="B668" i="14"/>
  <c r="E667" i="14"/>
  <c r="G667" i="14" s="1"/>
  <c r="AB634" i="14"/>
  <c r="AB417" i="14"/>
  <c r="AB534" i="14"/>
  <c r="G592" i="14"/>
  <c r="Z669" i="14"/>
  <c r="Z666" i="14"/>
  <c r="AB666" i="14" s="1"/>
  <c r="E666" i="14"/>
  <c r="E659" i="14"/>
  <c r="G659" i="14"/>
  <c r="Z659" i="14"/>
  <c r="AB659" i="14" s="1"/>
  <c r="O661" i="14"/>
  <c r="N661" i="14"/>
  <c r="F661" i="14"/>
  <c r="D650" i="14"/>
  <c r="D661" i="14"/>
  <c r="Z648" i="14"/>
  <c r="AB648" i="14" s="1"/>
  <c r="E648" i="14"/>
  <c r="G648" i="14" s="1"/>
  <c r="Z633" i="14"/>
  <c r="AB633" i="14" s="1"/>
  <c r="O635" i="14"/>
  <c r="E633" i="14"/>
  <c r="G633" i="14" s="1"/>
  <c r="Z614" i="14"/>
  <c r="AB614" i="14"/>
  <c r="E614" i="14"/>
  <c r="G614" i="14" s="1"/>
  <c r="Z591" i="14"/>
  <c r="AB591" i="14" s="1"/>
  <c r="E591" i="14"/>
  <c r="G591" i="14"/>
  <c r="Z564" i="14"/>
  <c r="AB564" i="14" s="1"/>
  <c r="E564" i="14"/>
  <c r="G564" i="14" s="1"/>
  <c r="Z533" i="14"/>
  <c r="E533" i="14"/>
  <c r="G533" i="14" s="1"/>
  <c r="Z498" i="14"/>
  <c r="E498" i="14"/>
  <c r="G498" i="14"/>
  <c r="Z459" i="14"/>
  <c r="AB459" i="14"/>
  <c r="E459" i="14"/>
  <c r="G459" i="14"/>
  <c r="Z416" i="14"/>
  <c r="E416" i="14"/>
  <c r="G416" i="14"/>
  <c r="AB533" i="14"/>
  <c r="AB498" i="14"/>
  <c r="AB416" i="14"/>
  <c r="P15" i="13"/>
  <c r="O15" i="13"/>
  <c r="N15" i="13"/>
  <c r="Z665" i="14"/>
  <c r="Z668" i="14" s="1"/>
  <c r="Z670" i="14" s="1"/>
  <c r="E665" i="14"/>
  <c r="Z658" i="14"/>
  <c r="AB658" i="14"/>
  <c r="E658" i="14"/>
  <c r="Z647" i="14"/>
  <c r="AB647" i="14"/>
  <c r="E647" i="14"/>
  <c r="G647" i="14"/>
  <c r="Z632" i="14"/>
  <c r="AB632" i="14" s="1"/>
  <c r="E632" i="14"/>
  <c r="G632" i="14"/>
  <c r="Z613" i="14"/>
  <c r="AB613" i="14"/>
  <c r="E613" i="14"/>
  <c r="G613" i="14" s="1"/>
  <c r="Z590" i="14"/>
  <c r="AB590" i="14"/>
  <c r="E590" i="14"/>
  <c r="G590" i="14"/>
  <c r="Z563" i="14"/>
  <c r="AB563" i="14" s="1"/>
  <c r="E563" i="14"/>
  <c r="G563" i="14"/>
  <c r="Z532" i="14"/>
  <c r="AB532" i="14"/>
  <c r="E532" i="14"/>
  <c r="G532" i="14" s="1"/>
  <c r="Z497" i="14"/>
  <c r="AB497" i="14"/>
  <c r="E497" i="14"/>
  <c r="G497" i="14"/>
  <c r="Z458" i="14"/>
  <c r="AB458" i="14" s="1"/>
  <c r="E458" i="14"/>
  <c r="G458" i="14"/>
  <c r="Z415" i="14"/>
  <c r="AB415" i="14"/>
  <c r="E415" i="14"/>
  <c r="G415" i="14"/>
  <c r="G665" i="14"/>
  <c r="G658" i="14"/>
  <c r="AB665" i="14"/>
  <c r="M12" i="13"/>
  <c r="P13" i="13"/>
  <c r="F650" i="14"/>
  <c r="O13" i="13"/>
  <c r="F635" i="14"/>
  <c r="N13" i="13"/>
  <c r="D635" i="14"/>
  <c r="F593" i="14"/>
  <c r="M13" i="13" s="1"/>
  <c r="D593" i="14"/>
  <c r="F566" i="14"/>
  <c r="D566" i="14"/>
  <c r="F535" i="14"/>
  <c r="D535" i="14"/>
  <c r="F500" i="14"/>
  <c r="D500" i="14"/>
  <c r="F461" i="14"/>
  <c r="D461" i="14"/>
  <c r="F418" i="14"/>
  <c r="D418" i="14"/>
  <c r="I12" i="13"/>
  <c r="H12" i="13"/>
  <c r="G12" i="13"/>
  <c r="P39" i="13"/>
  <c r="P16" i="13"/>
  <c r="P7" i="13"/>
  <c r="M39" i="12"/>
  <c r="M38" i="12"/>
  <c r="M32" i="12"/>
  <c r="M9" i="12"/>
  <c r="M11" i="12" s="1"/>
  <c r="M15" i="12"/>
  <c r="M23" i="12"/>
  <c r="Z414" i="14"/>
  <c r="AB414" i="14" s="1"/>
  <c r="E414" i="14"/>
  <c r="G414" i="14"/>
  <c r="Z457" i="14"/>
  <c r="AB457" i="14" s="1"/>
  <c r="E457" i="14"/>
  <c r="G457" i="14"/>
  <c r="Z496" i="14"/>
  <c r="AB496" i="14"/>
  <c r="E496" i="14"/>
  <c r="G496" i="14"/>
  <c r="Z531" i="14"/>
  <c r="AB531" i="14" s="1"/>
  <c r="E531" i="14"/>
  <c r="G531" i="14"/>
  <c r="Z562" i="14"/>
  <c r="AB562" i="14" s="1"/>
  <c r="E562" i="14"/>
  <c r="G562" i="14" s="1"/>
  <c r="Z589" i="14"/>
  <c r="AB589" i="14"/>
  <c r="E589" i="14"/>
  <c r="G589" i="14" s="1"/>
  <c r="Z617" i="14"/>
  <c r="Z612" i="14"/>
  <c r="AB612" i="14"/>
  <c r="E612" i="14"/>
  <c r="G612" i="14" s="1"/>
  <c r="Z631" i="14"/>
  <c r="AB631" i="14"/>
  <c r="E631" i="14"/>
  <c r="G631" i="14"/>
  <c r="Z646" i="14"/>
  <c r="AB646" i="14" s="1"/>
  <c r="E646" i="14"/>
  <c r="Z657" i="14"/>
  <c r="AB657" i="14" s="1"/>
  <c r="E657" i="14"/>
  <c r="G657" i="14"/>
  <c r="G661" i="14" s="1"/>
  <c r="P44" i="13"/>
  <c r="F7" i="13"/>
  <c r="F8" i="13"/>
  <c r="F9" i="13"/>
  <c r="F34" i="13" s="1"/>
  <c r="F15" i="13"/>
  <c r="F16" i="13"/>
  <c r="F29" i="13"/>
  <c r="F39" i="13"/>
  <c r="F42" i="13"/>
  <c r="F44" i="13"/>
  <c r="P42" i="13"/>
  <c r="G646" i="14"/>
  <c r="L23" i="12"/>
  <c r="I661" i="14"/>
  <c r="Q12" i="13" s="1"/>
  <c r="L661" i="14"/>
  <c r="X661" i="14"/>
  <c r="Y661" i="14"/>
  <c r="Z656" i="14"/>
  <c r="AB656" i="14"/>
  <c r="E656" i="14"/>
  <c r="G656" i="14"/>
  <c r="Z645" i="14"/>
  <c r="AB645" i="14" s="1"/>
  <c r="E645" i="14"/>
  <c r="G645" i="14"/>
  <c r="Z630" i="14"/>
  <c r="AB630" i="14"/>
  <c r="M630" i="14"/>
  <c r="M635" i="14" s="1"/>
  <c r="K630" i="14"/>
  <c r="K635" i="14"/>
  <c r="E630" i="14"/>
  <c r="G630" i="14"/>
  <c r="Z611" i="14"/>
  <c r="AB611" i="14" s="1"/>
  <c r="M611" i="14"/>
  <c r="K611" i="14"/>
  <c r="E611" i="14"/>
  <c r="G611" i="14"/>
  <c r="Z588" i="14"/>
  <c r="AB588" i="14" s="1"/>
  <c r="P23" i="13"/>
  <c r="P26" i="13"/>
  <c r="P24" i="13"/>
  <c r="E588" i="14"/>
  <c r="G588" i="14" s="1"/>
  <c r="Z561" i="14"/>
  <c r="AB561" i="14"/>
  <c r="M561" i="14"/>
  <c r="K561" i="14"/>
  <c r="E561" i="14"/>
  <c r="G561" i="14" s="1"/>
  <c r="Z530" i="14"/>
  <c r="AB530" i="14"/>
  <c r="K530" i="14"/>
  <c r="E530" i="14"/>
  <c r="G530" i="14"/>
  <c r="Z495" i="14"/>
  <c r="AB495" i="14"/>
  <c r="E495" i="14"/>
  <c r="G495" i="14"/>
  <c r="Z456" i="14"/>
  <c r="AB456" i="14"/>
  <c r="E456" i="14"/>
  <c r="G456" i="14"/>
  <c r="Z413" i="14"/>
  <c r="AB413" i="14" s="1"/>
  <c r="E413" i="14"/>
  <c r="G413" i="14"/>
  <c r="V371" i="14"/>
  <c r="F26" i="13"/>
  <c r="T371" i="14"/>
  <c r="F23" i="13" s="1"/>
  <c r="R371" i="14"/>
  <c r="F22" i="13"/>
  <c r="P371" i="14"/>
  <c r="F24" i="13"/>
  <c r="K371" i="14"/>
  <c r="F19" i="13" s="1"/>
  <c r="H371" i="14"/>
  <c r="F12" i="13"/>
  <c r="F371" i="14"/>
  <c r="F13" i="13"/>
  <c r="D371" i="14"/>
  <c r="C371" i="14"/>
  <c r="E370" i="14"/>
  <c r="G370" i="14"/>
  <c r="Z370" i="14" s="1"/>
  <c r="AB370" i="14" s="1"/>
  <c r="B371" i="14"/>
  <c r="L39" i="12"/>
  <c r="K39" i="12"/>
  <c r="Z655" i="14"/>
  <c r="E655" i="14"/>
  <c r="G655" i="14"/>
  <c r="Z644" i="14"/>
  <c r="AB644" i="14"/>
  <c r="E644" i="14"/>
  <c r="G644" i="14" s="1"/>
  <c r="Z629" i="14"/>
  <c r="AB629" i="14"/>
  <c r="E629" i="14"/>
  <c r="G629" i="14"/>
  <c r="Z610" i="14"/>
  <c r="AB610" i="14"/>
  <c r="E610" i="14"/>
  <c r="G610" i="14" s="1"/>
  <c r="Z587" i="14"/>
  <c r="AB587" i="14"/>
  <c r="E587" i="14"/>
  <c r="G587" i="14"/>
  <c r="Z560" i="14"/>
  <c r="AB560" i="14" s="1"/>
  <c r="E560" i="14"/>
  <c r="G560" i="14"/>
  <c r="Z529" i="14"/>
  <c r="AB529" i="14"/>
  <c r="E529" i="14"/>
  <c r="G529" i="14" s="1"/>
  <c r="Z494" i="14"/>
  <c r="AB494" i="14"/>
  <c r="E494" i="14"/>
  <c r="G494" i="14"/>
  <c r="Z455" i="14"/>
  <c r="AB455" i="14" s="1"/>
  <c r="E455" i="14"/>
  <c r="G455" i="14"/>
  <c r="Z412" i="14"/>
  <c r="AB412" i="14"/>
  <c r="E412" i="14"/>
  <c r="G412" i="14"/>
  <c r="E369" i="14"/>
  <c r="G369" i="14"/>
  <c r="Z369" i="14" s="1"/>
  <c r="AB369" i="14" s="1"/>
  <c r="V324" i="14"/>
  <c r="T324" i="14"/>
  <c r="R324" i="14"/>
  <c r="P324" i="14"/>
  <c r="M324" i="14"/>
  <c r="H324" i="14"/>
  <c r="F324" i="14"/>
  <c r="D324" i="14"/>
  <c r="C324" i="14"/>
  <c r="E323" i="14"/>
  <c r="G323" i="14"/>
  <c r="Z323" i="14" s="1"/>
  <c r="AB323" i="14" s="1"/>
  <c r="B324" i="14"/>
  <c r="AB655" i="14"/>
  <c r="M9" i="13"/>
  <c r="L9" i="13"/>
  <c r="Z639" i="14"/>
  <c r="K559" i="14"/>
  <c r="Z643" i="14"/>
  <c r="AB643" i="14" s="1"/>
  <c r="E643" i="14"/>
  <c r="G643" i="14" s="1"/>
  <c r="Z628" i="14"/>
  <c r="AB628" i="14"/>
  <c r="E628" i="14"/>
  <c r="G628" i="14" s="1"/>
  <c r="Z609" i="14"/>
  <c r="AB609" i="14" s="1"/>
  <c r="E609" i="14"/>
  <c r="G609" i="14"/>
  <c r="Z586" i="14"/>
  <c r="AB586" i="14" s="1"/>
  <c r="E586" i="14"/>
  <c r="G586" i="14" s="1"/>
  <c r="Z559" i="14"/>
  <c r="AB559" i="14"/>
  <c r="E559" i="14"/>
  <c r="G559" i="14" s="1"/>
  <c r="Z528" i="14"/>
  <c r="AB528" i="14" s="1"/>
  <c r="E528" i="14"/>
  <c r="G528" i="14"/>
  <c r="Z493" i="14"/>
  <c r="AB493" i="14" s="1"/>
  <c r="E493" i="14"/>
  <c r="G493" i="14"/>
  <c r="Z454" i="14"/>
  <c r="AB454" i="14"/>
  <c r="E454" i="14"/>
  <c r="G454" i="14"/>
  <c r="Z411" i="14"/>
  <c r="AB411" i="14" s="1"/>
  <c r="E411" i="14"/>
  <c r="G411" i="14"/>
  <c r="E368" i="14"/>
  <c r="G368" i="14"/>
  <c r="Z368" i="14"/>
  <c r="AB368" i="14" s="1"/>
  <c r="E322" i="14"/>
  <c r="G322" i="14"/>
  <c r="Z322" i="14" s="1"/>
  <c r="AB322" i="14" s="1"/>
  <c r="Z654" i="14"/>
  <c r="E654" i="14"/>
  <c r="E661" i="14"/>
  <c r="O44" i="13"/>
  <c r="O42" i="13"/>
  <c r="O39" i="13"/>
  <c r="O16" i="13"/>
  <c r="O7" i="13"/>
  <c r="L38" i="12"/>
  <c r="G654" i="14"/>
  <c r="L32" i="12"/>
  <c r="W661" i="14"/>
  <c r="M585" i="14"/>
  <c r="K585" i="14"/>
  <c r="M558" i="14"/>
  <c r="K558" i="14"/>
  <c r="L15" i="12"/>
  <c r="L9" i="12"/>
  <c r="L11" i="12" s="1"/>
  <c r="L27" i="12" s="1"/>
  <c r="X650" i="14"/>
  <c r="Y650" i="14"/>
  <c r="Z642" i="14"/>
  <c r="AB642" i="14" s="1"/>
  <c r="E642" i="14"/>
  <c r="G642" i="14" s="1"/>
  <c r="Z627" i="14"/>
  <c r="AB627" i="14"/>
  <c r="E627" i="14"/>
  <c r="G627" i="14" s="1"/>
  <c r="Z608" i="14"/>
  <c r="AB608" i="14" s="1"/>
  <c r="E608" i="14"/>
  <c r="G608" i="14"/>
  <c r="O26" i="13"/>
  <c r="Z585" i="14"/>
  <c r="O23" i="13"/>
  <c r="O24" i="13"/>
  <c r="E585" i="14"/>
  <c r="G585" i="14" s="1"/>
  <c r="Z558" i="14"/>
  <c r="AB558" i="14"/>
  <c r="E558" i="14"/>
  <c r="G558" i="14" s="1"/>
  <c r="Z527" i="14"/>
  <c r="AB527" i="14" s="1"/>
  <c r="E527" i="14"/>
  <c r="G527" i="14"/>
  <c r="Z492" i="14"/>
  <c r="AB492" i="14" s="1"/>
  <c r="E492" i="14"/>
  <c r="G492" i="14"/>
  <c r="Z453" i="14"/>
  <c r="AB453" i="14"/>
  <c r="E453" i="14"/>
  <c r="G453" i="14"/>
  <c r="Z410" i="14"/>
  <c r="AB410" i="14" s="1"/>
  <c r="E410" i="14"/>
  <c r="G410" i="14"/>
  <c r="E367" i="14"/>
  <c r="G367" i="14"/>
  <c r="E321" i="14"/>
  <c r="G321" i="14"/>
  <c r="Z321" i="14" s="1"/>
  <c r="AB321" i="14" s="1"/>
  <c r="Z367" i="14"/>
  <c r="AB367" i="14" s="1"/>
  <c r="AB585" i="14"/>
  <c r="B43" i="7"/>
  <c r="Z641" i="14"/>
  <c r="AB641" i="14"/>
  <c r="E641" i="14"/>
  <c r="G641" i="14" s="1"/>
  <c r="Z626" i="14"/>
  <c r="AB626" i="14" s="1"/>
  <c r="E626" i="14"/>
  <c r="G626" i="14"/>
  <c r="Z607" i="14"/>
  <c r="AB607" i="14" s="1"/>
  <c r="Z584" i="14"/>
  <c r="AB584" i="14"/>
  <c r="E584" i="14"/>
  <c r="G584" i="14"/>
  <c r="E607" i="14"/>
  <c r="G607" i="14" s="1"/>
  <c r="Z557" i="14"/>
  <c r="AB557" i="14" s="1"/>
  <c r="E557" i="14"/>
  <c r="G557" i="14"/>
  <c r="Z526" i="14"/>
  <c r="AB526" i="14" s="1"/>
  <c r="E526" i="14"/>
  <c r="G526" i="14" s="1"/>
  <c r="Z491" i="14"/>
  <c r="AB491" i="14"/>
  <c r="E491" i="14"/>
  <c r="G491" i="14"/>
  <c r="Z452" i="14"/>
  <c r="AB452" i="14" s="1"/>
  <c r="E452" i="14"/>
  <c r="G452" i="14"/>
  <c r="Z409" i="14"/>
  <c r="AB409" i="14" s="1"/>
  <c r="E409" i="14"/>
  <c r="G409" i="14"/>
  <c r="E366" i="14"/>
  <c r="G366" i="14"/>
  <c r="Z366" i="14" s="1"/>
  <c r="AB366" i="14" s="1"/>
  <c r="G319" i="14"/>
  <c r="Z319" i="14" s="1"/>
  <c r="G320" i="14"/>
  <c r="Z320" i="14" s="1"/>
  <c r="AB320" i="14" s="1"/>
  <c r="E320" i="14"/>
  <c r="Z640" i="14"/>
  <c r="Z650" i="14" s="1"/>
  <c r="E640" i="14"/>
  <c r="G640" i="14"/>
  <c r="Z625" i="14"/>
  <c r="AB625" i="14" s="1"/>
  <c r="E625" i="14"/>
  <c r="G625" i="14" s="1"/>
  <c r="Z606" i="14"/>
  <c r="AB606" i="14"/>
  <c r="E606" i="14"/>
  <c r="G606" i="14" s="1"/>
  <c r="Z583" i="14"/>
  <c r="AB583" i="14"/>
  <c r="E583" i="14"/>
  <c r="G583" i="14"/>
  <c r="Z556" i="14"/>
  <c r="AB556" i="14" s="1"/>
  <c r="E556" i="14"/>
  <c r="G556" i="14" s="1"/>
  <c r="Z525" i="14"/>
  <c r="AB525" i="14"/>
  <c r="E525" i="14"/>
  <c r="G525" i="14" s="1"/>
  <c r="Z490" i="14"/>
  <c r="AB490" i="14" s="1"/>
  <c r="E490" i="14"/>
  <c r="G490" i="14"/>
  <c r="X461" i="14"/>
  <c r="Y461" i="14"/>
  <c r="I461" i="14"/>
  <c r="Z451" i="14"/>
  <c r="AB451" i="14" s="1"/>
  <c r="E451" i="14"/>
  <c r="G451" i="14"/>
  <c r="Z408" i="14"/>
  <c r="AB408" i="14"/>
  <c r="E408" i="14"/>
  <c r="E418" i="14" s="1"/>
  <c r="G408" i="14"/>
  <c r="E365" i="14"/>
  <c r="G365" i="14"/>
  <c r="Z365" i="14" s="1"/>
  <c r="AB365" i="14" s="1"/>
  <c r="Q324" i="14"/>
  <c r="S324" i="14"/>
  <c r="U324" i="14"/>
  <c r="W324" i="14"/>
  <c r="X324" i="14"/>
  <c r="Y324" i="14"/>
  <c r="I324" i="14"/>
  <c r="AB319" i="14"/>
  <c r="E319" i="14"/>
  <c r="AG30" i="8"/>
  <c r="AG31" i="8"/>
  <c r="AG32" i="8" s="1"/>
  <c r="AG33" i="8" s="1"/>
  <c r="AG34" i="8" s="1"/>
  <c r="AG35" i="8" s="1"/>
  <c r="AG36" i="8" s="1"/>
  <c r="AG37" i="8"/>
  <c r="AG38" i="8" s="1"/>
  <c r="AG39" i="8" s="1"/>
  <c r="AG40" i="8" s="1"/>
  <c r="AG41" i="8" s="1"/>
  <c r="AB640" i="14"/>
  <c r="Z622" i="14"/>
  <c r="AB622" i="14" s="1"/>
  <c r="Z623" i="14"/>
  <c r="AB623" i="14"/>
  <c r="Z624" i="14"/>
  <c r="AB624" i="14" s="1"/>
  <c r="X635" i="14"/>
  <c r="Y635" i="14"/>
  <c r="D624" i="14"/>
  <c r="Z605" i="14"/>
  <c r="AB605" i="14" s="1"/>
  <c r="E605" i="14"/>
  <c r="G605" i="14"/>
  <c r="Z582" i="14"/>
  <c r="AB582" i="14" s="1"/>
  <c r="E582" i="14"/>
  <c r="G582" i="14" s="1"/>
  <c r="Z555" i="14"/>
  <c r="E555" i="14"/>
  <c r="G555" i="14"/>
  <c r="Z524" i="14"/>
  <c r="AB524" i="14"/>
  <c r="E524" i="14"/>
  <c r="G524" i="14" s="1"/>
  <c r="Z489" i="14"/>
  <c r="AB489" i="14" s="1"/>
  <c r="E489" i="14"/>
  <c r="G489" i="14"/>
  <c r="E624" i="14"/>
  <c r="G624" i="14" s="1"/>
  <c r="AB639" i="14"/>
  <c r="E639" i="14"/>
  <c r="AB555" i="14"/>
  <c r="Z450" i="14"/>
  <c r="AB450" i="14" s="1"/>
  <c r="E450" i="14"/>
  <c r="G450" i="14"/>
  <c r="Z407" i="14"/>
  <c r="AB407" i="14" s="1"/>
  <c r="E407" i="14"/>
  <c r="G407" i="14"/>
  <c r="E364" i="14"/>
  <c r="G364" i="14"/>
  <c r="Z364" i="14" s="1"/>
  <c r="AB364" i="14" s="1"/>
  <c r="E318" i="14"/>
  <c r="G318" i="14"/>
  <c r="Z318" i="14" s="1"/>
  <c r="AB318" i="14" s="1"/>
  <c r="AK408" i="5"/>
  <c r="AK406" i="5"/>
  <c r="AK405" i="5"/>
  <c r="AK403" i="5"/>
  <c r="AK402" i="5"/>
  <c r="AK400" i="5"/>
  <c r="AK399" i="5"/>
  <c r="AK397" i="5"/>
  <c r="AK396" i="5"/>
  <c r="AK394" i="5"/>
  <c r="AK393" i="5"/>
  <c r="AK391" i="5"/>
  <c r="AK390" i="5"/>
  <c r="AK388" i="5"/>
  <c r="AK387" i="5"/>
  <c r="AK385" i="5"/>
  <c r="AK384" i="5"/>
  <c r="AK382" i="5"/>
  <c r="AK381" i="5"/>
  <c r="AK379" i="5"/>
  <c r="AK378" i="5"/>
  <c r="AK376" i="5"/>
  <c r="AK375" i="5"/>
  <c r="AK373" i="5"/>
  <c r="AK372" i="5"/>
  <c r="AK370" i="5"/>
  <c r="AK369" i="5"/>
  <c r="AK367" i="5"/>
  <c r="AK366" i="5"/>
  <c r="AK364" i="5"/>
  <c r="AK363" i="5"/>
  <c r="AK361" i="5"/>
  <c r="AK360" i="5"/>
  <c r="AK358" i="5"/>
  <c r="AK357" i="5"/>
  <c r="AK355" i="5"/>
  <c r="AK354" i="5"/>
  <c r="AK352" i="5"/>
  <c r="AK351" i="5"/>
  <c r="AK349" i="5"/>
  <c r="AK348" i="5"/>
  <c r="AK346" i="5"/>
  <c r="AK345" i="5"/>
  <c r="AK343" i="5"/>
  <c r="AK342" i="5"/>
  <c r="AK340" i="5"/>
  <c r="AK339" i="5"/>
  <c r="AK337" i="5"/>
  <c r="AK336" i="5"/>
  <c r="AK334" i="5"/>
  <c r="AK333" i="5"/>
  <c r="AK331" i="5"/>
  <c r="AK330" i="5"/>
  <c r="AK328" i="5"/>
  <c r="AK327" i="5"/>
  <c r="AK325" i="5"/>
  <c r="AK324" i="5"/>
  <c r="AK322" i="5"/>
  <c r="AK321" i="5"/>
  <c r="AK319" i="5"/>
  <c r="AK318" i="5"/>
  <c r="AK316" i="5"/>
  <c r="AK315" i="5"/>
  <c r="AK313" i="5"/>
  <c r="AK312" i="5"/>
  <c r="AK310" i="5"/>
  <c r="AK309" i="5"/>
  <c r="AK307" i="5"/>
  <c r="AK306" i="5"/>
  <c r="AK304" i="5"/>
  <c r="AK303" i="5"/>
  <c r="AK301" i="5"/>
  <c r="AK300" i="5"/>
  <c r="AK298" i="5"/>
  <c r="AK297" i="5"/>
  <c r="AK295" i="5"/>
  <c r="AK294" i="5"/>
  <c r="AK292" i="5"/>
  <c r="AK291" i="5"/>
  <c r="AK289" i="5"/>
  <c r="AK288" i="5"/>
  <c r="AK286" i="5"/>
  <c r="AK285" i="5"/>
  <c r="AK283" i="5"/>
  <c r="AK282" i="5"/>
  <c r="AK280" i="5"/>
  <c r="AK279" i="5"/>
  <c r="AK277" i="5"/>
  <c r="AK276" i="5"/>
  <c r="AK274" i="5"/>
  <c r="AK273" i="5"/>
  <c r="AK271" i="5"/>
  <c r="AK270" i="5"/>
  <c r="AK268" i="5"/>
  <c r="AK267" i="5"/>
  <c r="AK265" i="5"/>
  <c r="AK264" i="5"/>
  <c r="AK262" i="5"/>
  <c r="AK261" i="5"/>
  <c r="AK259" i="5"/>
  <c r="AK258" i="5"/>
  <c r="AK256" i="5"/>
  <c r="AK255" i="5"/>
  <c r="AK253" i="5"/>
  <c r="AK252" i="5"/>
  <c r="AK250" i="5"/>
  <c r="AK249" i="5"/>
  <c r="AK247" i="5"/>
  <c r="AK246" i="5"/>
  <c r="AK244" i="5"/>
  <c r="AK243" i="5"/>
  <c r="AK241" i="5"/>
  <c r="AK240" i="5"/>
  <c r="AK238" i="5"/>
  <c r="AK237" i="5"/>
  <c r="AK235" i="5"/>
  <c r="AK234" i="5"/>
  <c r="AK232" i="5"/>
  <c r="AK231" i="5"/>
  <c r="AK229" i="5"/>
  <c r="AK228" i="5"/>
  <c r="AK226" i="5"/>
  <c r="AK225" i="5"/>
  <c r="AK223" i="5"/>
  <c r="AK222" i="5"/>
  <c r="AK220" i="5"/>
  <c r="AK219" i="5"/>
  <c r="AK217" i="5"/>
  <c r="AK216" i="5"/>
  <c r="AK214" i="5"/>
  <c r="AK213" i="5"/>
  <c r="AK211" i="5"/>
  <c r="AK210" i="5"/>
  <c r="AK208" i="5"/>
  <c r="AK207" i="5"/>
  <c r="AK205" i="5"/>
  <c r="AK204" i="5"/>
  <c r="AK202" i="5"/>
  <c r="AK201" i="5"/>
  <c r="AK199" i="5"/>
  <c r="AK198" i="5"/>
  <c r="AK196" i="5"/>
  <c r="AK195" i="5"/>
  <c r="AK193" i="5"/>
  <c r="AK192" i="5"/>
  <c r="AK190" i="5"/>
  <c r="AK189" i="5"/>
  <c r="AK187" i="5"/>
  <c r="AK186" i="5"/>
  <c r="AK184" i="5"/>
  <c r="AK183" i="5"/>
  <c r="AK181" i="5"/>
  <c r="AK180" i="5"/>
  <c r="AK178" i="5"/>
  <c r="AK177" i="5"/>
  <c r="AK175" i="5"/>
  <c r="AK174" i="5"/>
  <c r="AK172" i="5"/>
  <c r="N22" i="5" s="1"/>
  <c r="AK171" i="5"/>
  <c r="AK169" i="5"/>
  <c r="AK168" i="5"/>
  <c r="AK166" i="5"/>
  <c r="AK165" i="5"/>
  <c r="AK163" i="5"/>
  <c r="N13" i="5" s="1"/>
  <c r="AK162" i="5"/>
  <c r="AK160" i="5"/>
  <c r="AK159" i="5"/>
  <c r="AK157" i="5"/>
  <c r="AK156" i="5"/>
  <c r="AK154" i="5"/>
  <c r="J54" i="5" s="1"/>
  <c r="AK153" i="5"/>
  <c r="AM10" i="5"/>
  <c r="C7" i="5"/>
  <c r="C8" i="6"/>
  <c r="C35" i="6" s="1"/>
  <c r="C26" i="6"/>
  <c r="C34" i="6"/>
  <c r="C36" i="6"/>
  <c r="D21" i="7"/>
  <c r="AD58" i="8"/>
  <c r="Z58" i="8"/>
  <c r="V58" i="8"/>
  <c r="R58" i="8"/>
  <c r="N58" i="8"/>
  <c r="J58" i="8"/>
  <c r="Z57" i="8"/>
  <c r="V57" i="8"/>
  <c r="R57" i="8"/>
  <c r="N57" i="8"/>
  <c r="J57" i="8"/>
  <c r="AD56" i="8"/>
  <c r="V56" i="8"/>
  <c r="R56" i="8"/>
  <c r="J56" i="8"/>
  <c r="AD55" i="8"/>
  <c r="Z55" i="8"/>
  <c r="V55" i="8"/>
  <c r="R55" i="8"/>
  <c r="N55" i="8"/>
  <c r="J55" i="8"/>
  <c r="AD54" i="8"/>
  <c r="Z54" i="8"/>
  <c r="V54" i="8"/>
  <c r="R54" i="8"/>
  <c r="N54" i="8"/>
  <c r="J54" i="8"/>
  <c r="AD53" i="8"/>
  <c r="V53" i="8"/>
  <c r="R53" i="8"/>
  <c r="N53" i="8"/>
  <c r="J53" i="8"/>
  <c r="AD52" i="8"/>
  <c r="Z52" i="8"/>
  <c r="V52" i="8"/>
  <c r="R52" i="8"/>
  <c r="N52" i="8"/>
  <c r="AD51" i="8"/>
  <c r="Z51" i="8"/>
  <c r="V51" i="8"/>
  <c r="R51" i="8"/>
  <c r="N51" i="8"/>
  <c r="AD50" i="8"/>
  <c r="V50" i="8"/>
  <c r="R50" i="8"/>
  <c r="N50" i="8"/>
  <c r="AD49" i="8"/>
  <c r="Z49" i="8"/>
  <c r="V49" i="8"/>
  <c r="R49" i="8"/>
  <c r="N49" i="8"/>
  <c r="AD48" i="8"/>
  <c r="Z48" i="8"/>
  <c r="V48" i="8"/>
  <c r="R48" i="8"/>
  <c r="N48" i="8"/>
  <c r="AD47" i="8"/>
  <c r="Z47" i="8"/>
  <c r="V47" i="8"/>
  <c r="R47" i="8"/>
  <c r="N47" i="8"/>
  <c r="AD46" i="8"/>
  <c r="Z46" i="8"/>
  <c r="V46" i="8"/>
  <c r="R46" i="8"/>
  <c r="N46" i="8"/>
  <c r="AD45" i="8"/>
  <c r="Z45" i="8"/>
  <c r="V45" i="8"/>
  <c r="R45" i="8"/>
  <c r="N45" i="8"/>
  <c r="AD44" i="8"/>
  <c r="Z44" i="8"/>
  <c r="V44" i="8"/>
  <c r="R44" i="8"/>
  <c r="N44" i="8"/>
  <c r="AD43" i="8"/>
  <c r="Z43" i="8"/>
  <c r="V43" i="8"/>
  <c r="R43" i="8"/>
  <c r="N43" i="8"/>
  <c r="AD42" i="8"/>
  <c r="Z42" i="8"/>
  <c r="V42" i="8"/>
  <c r="R42" i="8"/>
  <c r="N42" i="8"/>
  <c r="AD41" i="8"/>
  <c r="Z41" i="8"/>
  <c r="V41" i="8"/>
  <c r="R41" i="8"/>
  <c r="N41" i="8"/>
  <c r="AD40" i="8"/>
  <c r="Z40" i="8"/>
  <c r="V40" i="8"/>
  <c r="R40" i="8"/>
  <c r="N40" i="8"/>
  <c r="AD39" i="8"/>
  <c r="Z39" i="8"/>
  <c r="V39" i="8"/>
  <c r="R39" i="8"/>
  <c r="N39" i="8"/>
  <c r="AD38" i="8"/>
  <c r="Z38" i="8"/>
  <c r="V38" i="8"/>
  <c r="R38" i="8"/>
  <c r="N38" i="8"/>
  <c r="AD37" i="8"/>
  <c r="Z37" i="8"/>
  <c r="V37" i="8"/>
  <c r="R37" i="8"/>
  <c r="N37" i="8"/>
  <c r="AD36" i="8"/>
  <c r="Z36" i="8"/>
  <c r="V36" i="8"/>
  <c r="R36" i="8"/>
  <c r="N36" i="8"/>
  <c r="AD35" i="8"/>
  <c r="Z35" i="8"/>
  <c r="V35" i="8"/>
  <c r="R35" i="8"/>
  <c r="N35" i="8"/>
  <c r="AD34" i="8"/>
  <c r="Z34" i="8"/>
  <c r="V34" i="8"/>
  <c r="R34" i="8"/>
  <c r="N34" i="8"/>
  <c r="AD33" i="8"/>
  <c r="Z33" i="8"/>
  <c r="V33" i="8"/>
  <c r="R33" i="8"/>
  <c r="N33" i="8"/>
  <c r="AD32" i="8"/>
  <c r="Z32" i="8"/>
  <c r="V32" i="8"/>
  <c r="R32" i="8"/>
  <c r="N32" i="8"/>
  <c r="AD31" i="8"/>
  <c r="Z31" i="8"/>
  <c r="V31" i="8"/>
  <c r="R31" i="8"/>
  <c r="N31" i="8"/>
  <c r="AD30" i="8"/>
  <c r="Z30" i="8"/>
  <c r="V30" i="8"/>
  <c r="R30" i="8"/>
  <c r="N30" i="8"/>
  <c r="AD29" i="8"/>
  <c r="Z29" i="8"/>
  <c r="V29" i="8"/>
  <c r="R29" i="8"/>
  <c r="N29" i="8"/>
  <c r="AD28" i="8"/>
  <c r="Z28" i="8"/>
  <c r="V28" i="8"/>
  <c r="R28" i="8"/>
  <c r="N28" i="8"/>
  <c r="B28" i="8"/>
  <c r="AK27" i="5"/>
  <c r="B27" i="5" s="1"/>
  <c r="AD27" i="8"/>
  <c r="Z27" i="8"/>
  <c r="V27" i="8"/>
  <c r="R27" i="8"/>
  <c r="N27" i="8"/>
  <c r="B27" i="8"/>
  <c r="AD26" i="8"/>
  <c r="V26" i="8"/>
  <c r="R26" i="8"/>
  <c r="N26" i="8"/>
  <c r="AK25" i="5"/>
  <c r="B25" i="5" s="1"/>
  <c r="AD25" i="8"/>
  <c r="Z25" i="8"/>
  <c r="V25" i="8"/>
  <c r="R25" i="8"/>
  <c r="N25" i="8"/>
  <c r="AD24" i="8"/>
  <c r="Z24" i="8"/>
  <c r="V24" i="8"/>
  <c r="R24" i="8"/>
  <c r="N24" i="8"/>
  <c r="AK23" i="5"/>
  <c r="B23" i="5" s="1"/>
  <c r="AD23" i="8"/>
  <c r="Z23" i="8"/>
  <c r="V23" i="8"/>
  <c r="R23" i="8"/>
  <c r="N23" i="8"/>
  <c r="B23" i="8"/>
  <c r="B22" i="8"/>
  <c r="AD22" i="8"/>
  <c r="Z22" i="8"/>
  <c r="V22" i="8"/>
  <c r="R22" i="8"/>
  <c r="N22" i="8"/>
  <c r="AD21" i="8"/>
  <c r="Z21" i="8"/>
  <c r="V21" i="8"/>
  <c r="R21" i="8"/>
  <c r="N21" i="8"/>
  <c r="AD20" i="8"/>
  <c r="V20" i="8"/>
  <c r="R20" i="8"/>
  <c r="N20" i="8"/>
  <c r="AD19" i="8"/>
  <c r="Z19" i="8"/>
  <c r="V19" i="8"/>
  <c r="R19" i="8"/>
  <c r="N19" i="8"/>
  <c r="AD18" i="8"/>
  <c r="Z18" i="8"/>
  <c r="V18" i="8"/>
  <c r="R18" i="8"/>
  <c r="N18" i="8"/>
  <c r="AD17" i="8"/>
  <c r="Z17" i="8"/>
  <c r="V17" i="8"/>
  <c r="R17" i="8"/>
  <c r="N17" i="8"/>
  <c r="B16" i="8"/>
  <c r="AD16" i="8"/>
  <c r="Z16" i="8"/>
  <c r="V16" i="8"/>
  <c r="R16" i="8"/>
  <c r="N16" i="8"/>
  <c r="AK15" i="5"/>
  <c r="B15" i="5" s="1"/>
  <c r="AD15" i="8"/>
  <c r="Z15" i="8"/>
  <c r="V15" i="8"/>
  <c r="R15" i="8"/>
  <c r="N15" i="8"/>
  <c r="B15" i="8"/>
  <c r="AD14" i="8"/>
  <c r="V14" i="8"/>
  <c r="R14" i="8"/>
  <c r="N14" i="8"/>
  <c r="AG13" i="8"/>
  <c r="AG14" i="8" s="1"/>
  <c r="AD13" i="8"/>
  <c r="Z13" i="8"/>
  <c r="V13" i="8"/>
  <c r="R13" i="8"/>
  <c r="N13" i="8"/>
  <c r="AD12" i="8"/>
  <c r="Z12" i="8"/>
  <c r="V12" i="8"/>
  <c r="R12" i="8"/>
  <c r="N12" i="8"/>
  <c r="AK11" i="5"/>
  <c r="B11" i="5" s="1"/>
  <c r="AM11" i="5"/>
  <c r="AD11" i="8"/>
  <c r="Z11" i="8"/>
  <c r="V11" i="8"/>
  <c r="R11" i="8"/>
  <c r="N11" i="8"/>
  <c r="AJ10" i="8"/>
  <c r="AM10" i="8" s="1"/>
  <c r="AJ11" i="8"/>
  <c r="AJ12" i="8" s="1"/>
  <c r="AJ13" i="8" s="1"/>
  <c r="AJ14" i="8" s="1"/>
  <c r="AD10" i="8"/>
  <c r="Z10" i="8"/>
  <c r="V10" i="8"/>
  <c r="R10" i="8"/>
  <c r="N10" i="8"/>
  <c r="AM9" i="8"/>
  <c r="AD9" i="8"/>
  <c r="Z9" i="8"/>
  <c r="V9" i="8"/>
  <c r="R9" i="8"/>
  <c r="N9" i="8"/>
  <c r="AM7" i="8"/>
  <c r="B11" i="8"/>
  <c r="E15" i="9"/>
  <c r="AJ15" i="8"/>
  <c r="AM14" i="8"/>
  <c r="E16" i="9"/>
  <c r="AG15" i="8"/>
  <c r="AG16" i="8" s="1"/>
  <c r="E17" i="9"/>
  <c r="E18" i="9" s="1"/>
  <c r="E19" i="9" s="1"/>
  <c r="E20" i="9" s="1"/>
  <c r="E21" i="9" s="1"/>
  <c r="E22" i="9" s="1"/>
  <c r="E23" i="9"/>
  <c r="E24" i="9" s="1"/>
  <c r="E25" i="9" s="1"/>
  <c r="E26" i="9" s="1"/>
  <c r="N44" i="13"/>
  <c r="M44" i="13"/>
  <c r="L44" i="13"/>
  <c r="K44" i="13"/>
  <c r="J44" i="13"/>
  <c r="I44" i="13"/>
  <c r="H44" i="13"/>
  <c r="G44" i="13"/>
  <c r="E44" i="13"/>
  <c r="D44" i="13"/>
  <c r="C44" i="13"/>
  <c r="B44" i="13"/>
  <c r="M42" i="13"/>
  <c r="L42" i="13"/>
  <c r="K42" i="13"/>
  <c r="J42" i="13"/>
  <c r="I42" i="13"/>
  <c r="H42" i="13"/>
  <c r="G42" i="13"/>
  <c r="E42" i="13"/>
  <c r="D42" i="13"/>
  <c r="N39" i="13"/>
  <c r="M39" i="13"/>
  <c r="L39" i="13"/>
  <c r="K39" i="13"/>
  <c r="J39" i="13"/>
  <c r="I39" i="13"/>
  <c r="H39" i="13"/>
  <c r="G39" i="13"/>
  <c r="E39" i="13"/>
  <c r="D39" i="13"/>
  <c r="C39" i="13"/>
  <c r="AG17" i="8"/>
  <c r="AG18" i="8" s="1"/>
  <c r="AG19" i="8" s="1"/>
  <c r="AG20" i="8" s="1"/>
  <c r="AG21" i="8" s="1"/>
  <c r="AG22" i="8" s="1"/>
  <c r="AG23" i="8" s="1"/>
  <c r="AG24" i="8" s="1"/>
  <c r="D29" i="13"/>
  <c r="C29" i="13"/>
  <c r="B29" i="13"/>
  <c r="N26" i="13"/>
  <c r="M26" i="13"/>
  <c r="L26" i="13"/>
  <c r="K26" i="13"/>
  <c r="J26" i="13"/>
  <c r="I26" i="13"/>
  <c r="H26" i="13"/>
  <c r="G26" i="13"/>
  <c r="E26" i="13"/>
  <c r="N24" i="13"/>
  <c r="M24" i="13"/>
  <c r="L24" i="13"/>
  <c r="K24" i="13"/>
  <c r="J24" i="13"/>
  <c r="I24" i="13"/>
  <c r="G24" i="13"/>
  <c r="E24" i="13"/>
  <c r="N23" i="13"/>
  <c r="M23" i="13"/>
  <c r="L23" i="13"/>
  <c r="K23" i="13"/>
  <c r="J23" i="13"/>
  <c r="I23" i="13"/>
  <c r="H23" i="13"/>
  <c r="G23" i="13"/>
  <c r="E23" i="13"/>
  <c r="M22" i="13"/>
  <c r="L22" i="13"/>
  <c r="K22" i="13"/>
  <c r="J22" i="13"/>
  <c r="I22" i="13"/>
  <c r="H22" i="13"/>
  <c r="G22" i="13"/>
  <c r="E22" i="13"/>
  <c r="D21" i="13"/>
  <c r="E20" i="13"/>
  <c r="N16" i="13"/>
  <c r="M16" i="13"/>
  <c r="L16" i="13"/>
  <c r="K16" i="13"/>
  <c r="J16" i="13"/>
  <c r="I16" i="13"/>
  <c r="H16" i="13"/>
  <c r="G16" i="13"/>
  <c r="E16" i="13"/>
  <c r="D16" i="13"/>
  <c r="C16" i="13"/>
  <c r="B16" i="13"/>
  <c r="M15" i="13"/>
  <c r="L15" i="13"/>
  <c r="K15" i="13"/>
  <c r="J15" i="13"/>
  <c r="I15" i="13"/>
  <c r="H15" i="13"/>
  <c r="G15" i="13"/>
  <c r="E15" i="13"/>
  <c r="D15" i="13"/>
  <c r="C15" i="13"/>
  <c r="B15" i="13"/>
  <c r="L13" i="13"/>
  <c r="K13" i="13"/>
  <c r="J13" i="13"/>
  <c r="I13" i="13"/>
  <c r="H13" i="13"/>
  <c r="G13" i="13"/>
  <c r="E13" i="13"/>
  <c r="L12" i="13"/>
  <c r="K12" i="13"/>
  <c r="E12" i="13"/>
  <c r="L8" i="13"/>
  <c r="K8" i="13"/>
  <c r="J8" i="13"/>
  <c r="I8" i="13"/>
  <c r="G8" i="13"/>
  <c r="E8" i="13"/>
  <c r="E9" i="13" s="1"/>
  <c r="D8" i="13"/>
  <c r="D9" i="13" s="1"/>
  <c r="C8" i="13"/>
  <c r="C9" i="13" s="1"/>
  <c r="C36" i="13" s="1"/>
  <c r="B8" i="13"/>
  <c r="B9" i="13" s="1"/>
  <c r="N7" i="13"/>
  <c r="M7" i="13"/>
  <c r="L7" i="13"/>
  <c r="K7" i="13"/>
  <c r="J7" i="13"/>
  <c r="I7" i="13"/>
  <c r="H7" i="13"/>
  <c r="G7" i="13"/>
  <c r="E7" i="13"/>
  <c r="D7" i="13"/>
  <c r="C7" i="13"/>
  <c r="B7" i="13"/>
  <c r="J39" i="12"/>
  <c r="I39" i="12"/>
  <c r="H39" i="12"/>
  <c r="G39" i="12"/>
  <c r="F39" i="12"/>
  <c r="E39" i="12"/>
  <c r="D39" i="12"/>
  <c r="C39" i="12"/>
  <c r="K38" i="12"/>
  <c r="J38" i="12"/>
  <c r="I38" i="12"/>
  <c r="H38" i="12"/>
  <c r="G38" i="12"/>
  <c r="F38" i="12"/>
  <c r="E38" i="12"/>
  <c r="D38" i="12"/>
  <c r="C38" i="12"/>
  <c r="K32" i="12"/>
  <c r="J32" i="12"/>
  <c r="I32" i="12"/>
  <c r="H32" i="12"/>
  <c r="G32" i="12"/>
  <c r="F32" i="12"/>
  <c r="E32" i="12"/>
  <c r="D32" i="12"/>
  <c r="C32" i="12"/>
  <c r="K15" i="12"/>
  <c r="J15" i="12"/>
  <c r="I15" i="12"/>
  <c r="H15" i="12"/>
  <c r="G15" i="12"/>
  <c r="F15" i="12"/>
  <c r="E15" i="12"/>
  <c r="D15" i="12"/>
  <c r="C15" i="12"/>
  <c r="K9" i="12"/>
  <c r="K11" i="12" s="1"/>
  <c r="K37" i="12" s="1"/>
  <c r="J9" i="12"/>
  <c r="J11" i="12" s="1"/>
  <c r="I9" i="12"/>
  <c r="I11" i="12" s="1"/>
  <c r="H9" i="12"/>
  <c r="H11" i="12" s="1"/>
  <c r="G9" i="12"/>
  <c r="G11" i="12" s="1"/>
  <c r="G22" i="12" s="1"/>
  <c r="F9" i="12"/>
  <c r="F11" i="12" s="1"/>
  <c r="F37" i="12" s="1"/>
  <c r="E9" i="12"/>
  <c r="E11" i="12" s="1"/>
  <c r="D9" i="12"/>
  <c r="D11" i="12" s="1"/>
  <c r="C9" i="12"/>
  <c r="C11" i="12" s="1"/>
  <c r="C37" i="12" s="1"/>
  <c r="E623" i="14"/>
  <c r="G623" i="14" s="1"/>
  <c r="E622" i="14"/>
  <c r="G622" i="14"/>
  <c r="Z621" i="14"/>
  <c r="AB621" i="14" s="1"/>
  <c r="E621" i="14"/>
  <c r="Z620" i="14"/>
  <c r="G621" i="14"/>
  <c r="E620" i="14"/>
  <c r="Z604" i="14"/>
  <c r="AB604" i="14"/>
  <c r="E604" i="14"/>
  <c r="Z603" i="14"/>
  <c r="AB603" i="14"/>
  <c r="M21" i="13"/>
  <c r="G604" i="14"/>
  <c r="E603" i="14"/>
  <c r="G603" i="14" s="1"/>
  <c r="Z602" i="14"/>
  <c r="E602" i="14"/>
  <c r="Z601" i="14"/>
  <c r="AB601" i="14" s="1"/>
  <c r="E601" i="14"/>
  <c r="G601" i="14" s="1"/>
  <c r="Z600" i="14"/>
  <c r="E600" i="14"/>
  <c r="G600" i="14" s="1"/>
  <c r="Z599" i="14"/>
  <c r="AB599" i="14" s="1"/>
  <c r="M599" i="14"/>
  <c r="K599" i="14"/>
  <c r="E599" i="14"/>
  <c r="Z598" i="14"/>
  <c r="M598" i="14"/>
  <c r="M616" i="14" s="1"/>
  <c r="M20" i="13" s="1"/>
  <c r="K598" i="14"/>
  <c r="E598" i="14"/>
  <c r="Z597" i="14"/>
  <c r="E597" i="14"/>
  <c r="Y593" i="14"/>
  <c r="X593" i="14"/>
  <c r="O593" i="14"/>
  <c r="Q21" i="13"/>
  <c r="Z581" i="14"/>
  <c r="AB581" i="14" s="1"/>
  <c r="E581" i="14"/>
  <c r="Z580" i="14"/>
  <c r="AB580" i="14" s="1"/>
  <c r="E580" i="14"/>
  <c r="Z579" i="14"/>
  <c r="E579" i="14"/>
  <c r="Z578" i="14"/>
  <c r="AB578" i="14"/>
  <c r="E578" i="14"/>
  <c r="G578" i="14" s="1"/>
  <c r="Z577" i="14"/>
  <c r="E577" i="14"/>
  <c r="Z576" i="14"/>
  <c r="M576" i="14"/>
  <c r="K576" i="14"/>
  <c r="E576" i="14"/>
  <c r="G576" i="14" s="1"/>
  <c r="Z575" i="14"/>
  <c r="M575" i="14"/>
  <c r="K575" i="14"/>
  <c r="E575" i="14"/>
  <c r="G575" i="14" s="1"/>
  <c r="Z574" i="14"/>
  <c r="AB574" i="14" s="1"/>
  <c r="E574" i="14"/>
  <c r="G574" i="14" s="1"/>
  <c r="Z573" i="14"/>
  <c r="AB573" i="14" s="1"/>
  <c r="K573" i="14"/>
  <c r="E573" i="14"/>
  <c r="Z572" i="14"/>
  <c r="AB572" i="14" s="1"/>
  <c r="E572" i="14"/>
  <c r="Z571" i="14"/>
  <c r="M571" i="14"/>
  <c r="M593" i="14" s="1"/>
  <c r="K571" i="14"/>
  <c r="E571" i="14"/>
  <c r="Z570" i="14"/>
  <c r="E570" i="14"/>
  <c r="Y566" i="14"/>
  <c r="X566" i="14"/>
  <c r="O566" i="14"/>
  <c r="K21" i="13"/>
  <c r="Z554" i="14"/>
  <c r="AB554" i="14" s="1"/>
  <c r="E554" i="14"/>
  <c r="Z553" i="14"/>
  <c r="AB553" i="14" s="1"/>
  <c r="E553" i="14"/>
  <c r="Z552" i="14"/>
  <c r="AB552" i="14" s="1"/>
  <c r="E552" i="14"/>
  <c r="Z551" i="14"/>
  <c r="AB551" i="14"/>
  <c r="E551" i="14"/>
  <c r="G551" i="14" s="1"/>
  <c r="Z550" i="14"/>
  <c r="AB550" i="14" s="1"/>
  <c r="E550" i="14"/>
  <c r="Z549" i="14"/>
  <c r="M549" i="14"/>
  <c r="M566" i="14" s="1"/>
  <c r="K549" i="14"/>
  <c r="E549" i="14"/>
  <c r="Z548" i="14"/>
  <c r="AB548" i="14" s="1"/>
  <c r="M548" i="14"/>
  <c r="K548" i="14"/>
  <c r="E548" i="14"/>
  <c r="G548" i="14" s="1"/>
  <c r="Z547" i="14"/>
  <c r="E547" i="14"/>
  <c r="Z546" i="14"/>
  <c r="AB546" i="14" s="1"/>
  <c r="E546" i="14"/>
  <c r="Z545" i="14"/>
  <c r="E545" i="14"/>
  <c r="G545" i="14" s="1"/>
  <c r="M544" i="14"/>
  <c r="K544" i="14"/>
  <c r="K566" i="14"/>
  <c r="K19" i="13" s="1"/>
  <c r="E544" i="14"/>
  <c r="J543" i="14"/>
  <c r="E543" i="14"/>
  <c r="G543" i="14" s="1"/>
  <c r="Z542" i="14"/>
  <c r="AB542" i="14" s="1"/>
  <c r="E542" i="14"/>
  <c r="E566" i="14" s="1"/>
  <c r="Z541" i="14"/>
  <c r="AB541" i="14" s="1"/>
  <c r="E541" i="14"/>
  <c r="G541" i="14"/>
  <c r="Z540" i="14"/>
  <c r="E540" i="14"/>
  <c r="Z539" i="14"/>
  <c r="AB539" i="14" s="1"/>
  <c r="E539" i="14"/>
  <c r="Y535" i="14"/>
  <c r="X535" i="14"/>
  <c r="O535" i="14"/>
  <c r="Z523" i="14"/>
  <c r="AB523" i="14"/>
  <c r="E523" i="14"/>
  <c r="G523" i="14"/>
  <c r="Z522" i="14"/>
  <c r="AB522" i="14" s="1"/>
  <c r="E522" i="14"/>
  <c r="Z521" i="14"/>
  <c r="E521" i="14"/>
  <c r="G521" i="14" s="1"/>
  <c r="Z520" i="14"/>
  <c r="AB520" i="14"/>
  <c r="E520" i="14"/>
  <c r="G520" i="14" s="1"/>
  <c r="Z519" i="14"/>
  <c r="AB519" i="14" s="1"/>
  <c r="E519" i="14"/>
  <c r="G519" i="14" s="1"/>
  <c r="Z518" i="14"/>
  <c r="M518" i="14"/>
  <c r="K518" i="14"/>
  <c r="E518" i="14"/>
  <c r="Z517" i="14"/>
  <c r="AB517" i="14" s="1"/>
  <c r="M517" i="14"/>
  <c r="K517" i="14"/>
  <c r="E517" i="14"/>
  <c r="G517" i="14" s="1"/>
  <c r="Z516" i="14"/>
  <c r="AB516" i="14" s="1"/>
  <c r="E516" i="14"/>
  <c r="G516" i="14"/>
  <c r="Z515" i="14"/>
  <c r="E515" i="14"/>
  <c r="Z514" i="14"/>
  <c r="AB514" i="14" s="1"/>
  <c r="E514" i="14"/>
  <c r="M513" i="14"/>
  <c r="K513" i="14"/>
  <c r="E513" i="14"/>
  <c r="G513" i="14" s="1"/>
  <c r="J512" i="14"/>
  <c r="Z512" i="14" s="1"/>
  <c r="AB512" i="14" s="1"/>
  <c r="E512" i="14"/>
  <c r="G512" i="14" s="1"/>
  <c r="J511" i="14"/>
  <c r="Z511" i="14" s="1"/>
  <c r="AB511" i="14"/>
  <c r="E511" i="14"/>
  <c r="J510" i="14"/>
  <c r="Z510" i="14"/>
  <c r="AB510" i="14"/>
  <c r="E510" i="14"/>
  <c r="G510" i="14"/>
  <c r="J509" i="14"/>
  <c r="Z509" i="14" s="1"/>
  <c r="AB509" i="14" s="1"/>
  <c r="E509" i="14"/>
  <c r="J508" i="14"/>
  <c r="E508" i="14"/>
  <c r="G508" i="14" s="1"/>
  <c r="J507" i="14"/>
  <c r="E507" i="14"/>
  <c r="G507" i="14" s="1"/>
  <c r="J506" i="14"/>
  <c r="Z506" i="14" s="1"/>
  <c r="AB506" i="14" s="1"/>
  <c r="E506" i="14"/>
  <c r="G506" i="14" s="1"/>
  <c r="J505" i="14"/>
  <c r="Z505" i="14" s="1"/>
  <c r="AB505" i="14" s="1"/>
  <c r="E505" i="14"/>
  <c r="G505" i="14" s="1"/>
  <c r="J504" i="14"/>
  <c r="G504" i="14"/>
  <c r="Y500" i="14"/>
  <c r="X500" i="14"/>
  <c r="I21" i="13"/>
  <c r="I500" i="14"/>
  <c r="Z488" i="14"/>
  <c r="AB488" i="14" s="1"/>
  <c r="G488" i="14"/>
  <c r="E488" i="14"/>
  <c r="Z487" i="14"/>
  <c r="G487" i="14"/>
  <c r="E487" i="14"/>
  <c r="Z486" i="14"/>
  <c r="G486" i="14"/>
  <c r="E486" i="14"/>
  <c r="Z485" i="14"/>
  <c r="AB485" i="14"/>
  <c r="G485" i="14"/>
  <c r="E485" i="14"/>
  <c r="Z484" i="14"/>
  <c r="G484" i="14"/>
  <c r="E484" i="14"/>
  <c r="Z483" i="14"/>
  <c r="M483" i="14"/>
  <c r="M500" i="14" s="1"/>
  <c r="K483" i="14"/>
  <c r="G483" i="14"/>
  <c r="E483" i="14"/>
  <c r="Z482" i="14"/>
  <c r="M482" i="14"/>
  <c r="K482" i="14"/>
  <c r="G482" i="14"/>
  <c r="E482" i="14"/>
  <c r="Z481" i="14"/>
  <c r="AB481" i="14" s="1"/>
  <c r="G481" i="14"/>
  <c r="E481" i="14"/>
  <c r="Z480" i="14"/>
  <c r="AB480" i="14" s="1"/>
  <c r="G480" i="14"/>
  <c r="E480" i="14"/>
  <c r="Z479" i="14"/>
  <c r="G479" i="14"/>
  <c r="E479" i="14"/>
  <c r="M478" i="14"/>
  <c r="K478" i="14"/>
  <c r="G478" i="14"/>
  <c r="E478" i="14"/>
  <c r="J477" i="14"/>
  <c r="G477" i="14"/>
  <c r="E477" i="14"/>
  <c r="J476" i="14"/>
  <c r="Z476" i="14" s="1"/>
  <c r="AB476" i="14" s="1"/>
  <c r="G476" i="14"/>
  <c r="E476" i="14"/>
  <c r="J475" i="14"/>
  <c r="Z475" i="14"/>
  <c r="AB475" i="14"/>
  <c r="G475" i="14"/>
  <c r="E475" i="14"/>
  <c r="J474" i="14"/>
  <c r="Z474" i="14" s="1"/>
  <c r="AB474" i="14" s="1"/>
  <c r="G474" i="14"/>
  <c r="E474" i="14"/>
  <c r="J473" i="14"/>
  <c r="Z473" i="14"/>
  <c r="AB473" i="14" s="1"/>
  <c r="G473" i="14"/>
  <c r="J472" i="14"/>
  <c r="Z472" i="14" s="1"/>
  <c r="AB472" i="14"/>
  <c r="G472" i="14"/>
  <c r="J471" i="14"/>
  <c r="Z471" i="14"/>
  <c r="AB471" i="14"/>
  <c r="E471" i="14"/>
  <c r="G471" i="14"/>
  <c r="J470" i="14"/>
  <c r="Z470" i="14" s="1"/>
  <c r="AB470" i="14" s="1"/>
  <c r="E470" i="14"/>
  <c r="J469" i="14"/>
  <c r="Z469" i="14"/>
  <c r="AB469" i="14"/>
  <c r="G469" i="14"/>
  <c r="J468" i="14"/>
  <c r="Z468" i="14"/>
  <c r="AB468" i="14" s="1"/>
  <c r="G468" i="14"/>
  <c r="J467" i="14"/>
  <c r="Z467" i="14" s="1"/>
  <c r="AB467" i="14"/>
  <c r="G467" i="14"/>
  <c r="J466" i="14"/>
  <c r="G466" i="14"/>
  <c r="J465" i="14"/>
  <c r="G465" i="14"/>
  <c r="K593" i="14"/>
  <c r="Q19" i="13"/>
  <c r="E535" i="14"/>
  <c r="K616" i="14"/>
  <c r="O21" i="13"/>
  <c r="P21" i="13"/>
  <c r="G570" i="14"/>
  <c r="AB540" i="14"/>
  <c r="Z504" i="14"/>
  <c r="AB504" i="14" s="1"/>
  <c r="Z466" i="14"/>
  <c r="AB466" i="14" s="1"/>
  <c r="AB577" i="14"/>
  <c r="G573" i="14"/>
  <c r="AB486" i="14"/>
  <c r="G514" i="14"/>
  <c r="AB521" i="14"/>
  <c r="G572" i="14"/>
  <c r="AB576" i="14"/>
  <c r="G580" i="14"/>
  <c r="AB545" i="14"/>
  <c r="AB547" i="14"/>
  <c r="AB549" i="14"/>
  <c r="AB598" i="14"/>
  <c r="AB602" i="14"/>
  <c r="AB487" i="14"/>
  <c r="G547" i="14"/>
  <c r="AB579" i="14"/>
  <c r="G599" i="14"/>
  <c r="AB479" i="14"/>
  <c r="AB482" i="14"/>
  <c r="AB484" i="14"/>
  <c r="AB515" i="14"/>
  <c r="G518" i="14"/>
  <c r="G602" i="14"/>
  <c r="Z465" i="14"/>
  <c r="G509" i="14"/>
  <c r="G515" i="14"/>
  <c r="AB518" i="14"/>
  <c r="G522" i="14"/>
  <c r="G540" i="14"/>
  <c r="G552" i="14"/>
  <c r="G554" i="14"/>
  <c r="G577" i="14"/>
  <c r="G597" i="14"/>
  <c r="G598" i="14"/>
  <c r="J544" i="14"/>
  <c r="G544" i="14"/>
  <c r="J21" i="13"/>
  <c r="N21" i="13"/>
  <c r="L21" i="13"/>
  <c r="G470" i="14"/>
  <c r="AB483" i="14"/>
  <c r="Z507" i="14"/>
  <c r="AB507" i="14" s="1"/>
  <c r="Z508" i="14"/>
  <c r="AB508" i="14" s="1"/>
  <c r="G511" i="14"/>
  <c r="G539" i="14"/>
  <c r="Z543" i="14"/>
  <c r="AB543" i="14"/>
  <c r="G546" i="14"/>
  <c r="G549" i="14"/>
  <c r="G550" i="14"/>
  <c r="G553" i="14"/>
  <c r="AB571" i="14"/>
  <c r="AB575" i="14"/>
  <c r="G579" i="14"/>
  <c r="G581" i="14"/>
  <c r="AB600" i="14"/>
  <c r="O461" i="14"/>
  <c r="H21" i="13"/>
  <c r="Z449" i="14"/>
  <c r="AB449" i="14" s="1"/>
  <c r="G449" i="14"/>
  <c r="E449" i="14"/>
  <c r="Z448" i="14"/>
  <c r="G448" i="14"/>
  <c r="E448" i="14"/>
  <c r="Z447" i="14"/>
  <c r="G447" i="14"/>
  <c r="E447" i="14"/>
  <c r="Z446" i="14"/>
  <c r="AB446" i="14"/>
  <c r="G446" i="14"/>
  <c r="E446" i="14"/>
  <c r="Z445" i="14"/>
  <c r="G445" i="14"/>
  <c r="E445" i="14"/>
  <c r="Z444" i="14"/>
  <c r="G444" i="14"/>
  <c r="E444" i="14"/>
  <c r="Z443" i="14"/>
  <c r="G443" i="14"/>
  <c r="E443" i="14"/>
  <c r="Z442" i="14"/>
  <c r="G442" i="14"/>
  <c r="E442" i="14"/>
  <c r="Z441" i="14"/>
  <c r="G441" i="14"/>
  <c r="E441" i="14"/>
  <c r="Z440" i="14"/>
  <c r="G440" i="14"/>
  <c r="E440" i="14"/>
  <c r="M439" i="14"/>
  <c r="K439" i="14"/>
  <c r="J439" i="14" s="1"/>
  <c r="G439" i="14"/>
  <c r="E439" i="14"/>
  <c r="J438" i="14"/>
  <c r="Z438" i="14" s="1"/>
  <c r="AB438" i="14"/>
  <c r="G438" i="14"/>
  <c r="E438" i="14"/>
  <c r="J437" i="14"/>
  <c r="G437" i="14"/>
  <c r="E437" i="14"/>
  <c r="J436" i="14"/>
  <c r="Z436" i="14" s="1"/>
  <c r="AB436" i="14" s="1"/>
  <c r="G436" i="14"/>
  <c r="E436" i="14"/>
  <c r="J435" i="14"/>
  <c r="G435" i="14"/>
  <c r="E435" i="14"/>
  <c r="E461" i="14" s="1"/>
  <c r="J434" i="14"/>
  <c r="G434" i="14"/>
  <c r="M433" i="14"/>
  <c r="K433" i="14"/>
  <c r="G433" i="14"/>
  <c r="K432" i="14"/>
  <c r="J432" i="14"/>
  <c r="B432" i="14"/>
  <c r="B461" i="14" s="1"/>
  <c r="K431" i="14"/>
  <c r="J431" i="14" s="1"/>
  <c r="E431" i="14"/>
  <c r="K430" i="14"/>
  <c r="J430" i="14" s="1"/>
  <c r="G430" i="14"/>
  <c r="K429" i="14"/>
  <c r="J429" i="14" s="1"/>
  <c r="G429" i="14"/>
  <c r="K428" i="14"/>
  <c r="J428" i="14" s="1"/>
  <c r="G428" i="14"/>
  <c r="K427" i="14"/>
  <c r="J427" i="14" s="1"/>
  <c r="G427" i="14"/>
  <c r="K426" i="14"/>
  <c r="J426" i="14" s="1"/>
  <c r="G426" i="14"/>
  <c r="K425" i="14"/>
  <c r="J425" i="14" s="1"/>
  <c r="G425" i="14"/>
  <c r="K424" i="14"/>
  <c r="G424" i="14"/>
  <c r="J423" i="14"/>
  <c r="G423" i="14"/>
  <c r="J422" i="14"/>
  <c r="G422" i="14"/>
  <c r="Y418" i="14"/>
  <c r="X418" i="14"/>
  <c r="O418" i="14"/>
  <c r="G21" i="13"/>
  <c r="I418" i="14"/>
  <c r="Z406" i="14"/>
  <c r="AB406" i="14"/>
  <c r="G406" i="14"/>
  <c r="E406" i="14"/>
  <c r="Z405" i="14"/>
  <c r="AB405" i="14" s="1"/>
  <c r="G405" i="14"/>
  <c r="E405" i="14"/>
  <c r="Z404" i="14"/>
  <c r="AB404" i="14" s="1"/>
  <c r="G404" i="14"/>
  <c r="E404" i="14"/>
  <c r="Z403" i="14"/>
  <c r="AB403" i="14" s="1"/>
  <c r="G403" i="14"/>
  <c r="E403" i="14"/>
  <c r="Z402" i="14"/>
  <c r="G402" i="14"/>
  <c r="E402" i="14"/>
  <c r="Z401" i="14"/>
  <c r="AB401" i="14" s="1"/>
  <c r="G401" i="14"/>
  <c r="E401" i="14"/>
  <c r="Z400" i="14"/>
  <c r="G400" i="14"/>
  <c r="E400" i="14"/>
  <c r="Z399" i="14"/>
  <c r="AB399" i="14" s="1"/>
  <c r="G399" i="14"/>
  <c r="E399" i="14"/>
  <c r="Z398" i="14"/>
  <c r="G398" i="14"/>
  <c r="E398" i="14"/>
  <c r="Z397" i="14"/>
  <c r="G397" i="14"/>
  <c r="E397" i="14"/>
  <c r="M396" i="14"/>
  <c r="M418" i="14" s="1"/>
  <c r="K396" i="14"/>
  <c r="J396" i="14" s="1"/>
  <c r="K418" i="14"/>
  <c r="G396" i="14"/>
  <c r="E396" i="14"/>
  <c r="J395" i="14"/>
  <c r="Z395" i="14" s="1"/>
  <c r="AB395" i="14" s="1"/>
  <c r="G395" i="14"/>
  <c r="E395" i="14"/>
  <c r="J394" i="14"/>
  <c r="Z394" i="14"/>
  <c r="AB394" i="14" s="1"/>
  <c r="G394" i="14"/>
  <c r="E394" i="14"/>
  <c r="J393" i="14"/>
  <c r="Z393" i="14"/>
  <c r="AB393" i="14" s="1"/>
  <c r="G393" i="14"/>
  <c r="S393" i="14"/>
  <c r="E393" i="14"/>
  <c r="J392" i="14"/>
  <c r="Z392" i="14"/>
  <c r="AB392" i="14" s="1"/>
  <c r="G392" i="14"/>
  <c r="U392" i="14"/>
  <c r="J391" i="14"/>
  <c r="Z391" i="14" s="1"/>
  <c r="AB391" i="14"/>
  <c r="G391" i="14"/>
  <c r="J390" i="14"/>
  <c r="Z390" i="14"/>
  <c r="AB390" i="14" s="1"/>
  <c r="G390" i="14"/>
  <c r="J389" i="14"/>
  <c r="Z389" i="14"/>
  <c r="AB389" i="14" s="1"/>
  <c r="E389" i="14"/>
  <c r="G389" i="14"/>
  <c r="J388" i="14"/>
  <c r="Z388" i="14"/>
  <c r="AB388" i="14" s="1"/>
  <c r="E388" i="14"/>
  <c r="J387" i="14"/>
  <c r="Z387" i="14" s="1"/>
  <c r="AB387" i="14" s="1"/>
  <c r="G387" i="14"/>
  <c r="Q387" i="14" s="1"/>
  <c r="U387" i="14"/>
  <c r="J386" i="14"/>
  <c r="Z386" i="14"/>
  <c r="AB386" i="14"/>
  <c r="G386" i="14"/>
  <c r="W386" i="14"/>
  <c r="J385" i="14"/>
  <c r="Z385" i="14" s="1"/>
  <c r="AB385" i="14" s="1"/>
  <c r="G385" i="14"/>
  <c r="U385" i="14" s="1"/>
  <c r="J384" i="14"/>
  <c r="Z384" i="14" s="1"/>
  <c r="AB384" i="14" s="1"/>
  <c r="G384" i="14"/>
  <c r="U384" i="14" s="1"/>
  <c r="Q384" i="14"/>
  <c r="J383" i="14"/>
  <c r="Z383" i="14"/>
  <c r="AB383" i="14"/>
  <c r="G383" i="14"/>
  <c r="U383" i="14"/>
  <c r="J382" i="14"/>
  <c r="Z382" i="14" s="1"/>
  <c r="AB382" i="14" s="1"/>
  <c r="G382" i="14"/>
  <c r="J381" i="14"/>
  <c r="Z381" i="14" s="1"/>
  <c r="AB381" i="14" s="1"/>
  <c r="G381" i="14"/>
  <c r="S381" i="14" s="1"/>
  <c r="U381" i="14"/>
  <c r="J380" i="14"/>
  <c r="Z380" i="14"/>
  <c r="AB380" i="14"/>
  <c r="G380" i="14"/>
  <c r="Q380" i="14"/>
  <c r="J379" i="14"/>
  <c r="Z379" i="14" s="1"/>
  <c r="AB379" i="14" s="1"/>
  <c r="G379" i="14"/>
  <c r="J378" i="14"/>
  <c r="G378" i="14"/>
  <c r="S378" i="14" s="1"/>
  <c r="W378" i="14"/>
  <c r="J377" i="14"/>
  <c r="Z377" i="14"/>
  <c r="AB377" i="14"/>
  <c r="G377" i="14"/>
  <c r="J376" i="14"/>
  <c r="G376" i="14"/>
  <c r="J375" i="14"/>
  <c r="G375" i="14"/>
  <c r="S375" i="14" s="1"/>
  <c r="Y371" i="14"/>
  <c r="X371" i="14"/>
  <c r="W371" i="14"/>
  <c r="U371" i="14"/>
  <c r="S371" i="14"/>
  <c r="Q371" i="14"/>
  <c r="O371" i="14"/>
  <c r="F21" i="13"/>
  <c r="I371" i="14"/>
  <c r="G363" i="14"/>
  <c r="Z363" i="14"/>
  <c r="AB363" i="14"/>
  <c r="E363" i="14"/>
  <c r="G362" i="14"/>
  <c r="E362" i="14"/>
  <c r="G361" i="14"/>
  <c r="E361" i="14"/>
  <c r="G360" i="14"/>
  <c r="E360" i="14"/>
  <c r="G359" i="14"/>
  <c r="E359" i="14"/>
  <c r="G358" i="14"/>
  <c r="E358" i="14"/>
  <c r="G357" i="14"/>
  <c r="E357" i="14"/>
  <c r="G356" i="14"/>
  <c r="E356" i="14"/>
  <c r="G355" i="14"/>
  <c r="E355" i="14"/>
  <c r="G354" i="14"/>
  <c r="E354" i="14"/>
  <c r="J353" i="14"/>
  <c r="G353" i="14"/>
  <c r="E353" i="14"/>
  <c r="J352" i="14"/>
  <c r="G352" i="14"/>
  <c r="J351" i="14"/>
  <c r="G351" i="14"/>
  <c r="J350" i="14"/>
  <c r="G350" i="14"/>
  <c r="M349" i="14"/>
  <c r="M371" i="14"/>
  <c r="F20" i="13" s="1"/>
  <c r="F27" i="13"/>
  <c r="G349" i="14"/>
  <c r="G348" i="14"/>
  <c r="J347" i="14"/>
  <c r="G347" i="14"/>
  <c r="J346" i="14"/>
  <c r="G346" i="14"/>
  <c r="J345" i="14"/>
  <c r="G345" i="14"/>
  <c r="J344" i="14"/>
  <c r="G344" i="14"/>
  <c r="J343" i="14"/>
  <c r="G343" i="14"/>
  <c r="J342" i="14"/>
  <c r="G342" i="14"/>
  <c r="J341" i="14"/>
  <c r="G341" i="14"/>
  <c r="J340" i="14"/>
  <c r="G340" i="14"/>
  <c r="J339" i="14"/>
  <c r="G339" i="14"/>
  <c r="J338" i="14"/>
  <c r="G338" i="14"/>
  <c r="J337" i="14"/>
  <c r="G337" i="14"/>
  <c r="J336" i="14"/>
  <c r="G336" i="14"/>
  <c r="J335" i="14"/>
  <c r="G335" i="14"/>
  <c r="J334" i="14"/>
  <c r="G334" i="14"/>
  <c r="J333" i="14"/>
  <c r="G333" i="14"/>
  <c r="J332" i="14"/>
  <c r="G332" i="14"/>
  <c r="J331" i="14"/>
  <c r="G331" i="14"/>
  <c r="J330" i="14"/>
  <c r="G330" i="14"/>
  <c r="J329" i="14"/>
  <c r="G329" i="14"/>
  <c r="J328" i="14"/>
  <c r="Z328" i="14" s="1"/>
  <c r="AB328" i="14" s="1"/>
  <c r="G328" i="14"/>
  <c r="O324" i="14"/>
  <c r="E21" i="13"/>
  <c r="G317" i="14"/>
  <c r="Z317" i="14" s="1"/>
  <c r="AB317" i="14"/>
  <c r="E317" i="14"/>
  <c r="G316" i="14"/>
  <c r="E316" i="14"/>
  <c r="G315" i="14"/>
  <c r="E315" i="14"/>
  <c r="G314" i="14"/>
  <c r="E314" i="14"/>
  <c r="G313" i="14"/>
  <c r="E313" i="14"/>
  <c r="G312" i="14"/>
  <c r="E312" i="14"/>
  <c r="G311" i="14"/>
  <c r="E311" i="14"/>
  <c r="G310" i="14"/>
  <c r="E310" i="14"/>
  <c r="G309" i="14"/>
  <c r="E309" i="14"/>
  <c r="G308" i="14"/>
  <c r="G307" i="14"/>
  <c r="E307" i="14"/>
  <c r="G306" i="14"/>
  <c r="J305" i="14"/>
  <c r="G305" i="14"/>
  <c r="J304" i="14"/>
  <c r="G304" i="14"/>
  <c r="Z304" i="14" s="1"/>
  <c r="AB304" i="14" s="1"/>
  <c r="K303" i="14"/>
  <c r="K324" i="14"/>
  <c r="G303" i="14"/>
  <c r="Z303" i="14" s="1"/>
  <c r="AB303" i="14" s="1"/>
  <c r="J302" i="14"/>
  <c r="G302" i="14"/>
  <c r="Z302" i="14" s="1"/>
  <c r="J301" i="14"/>
  <c r="J300" i="14"/>
  <c r="G300" i="14"/>
  <c r="J299" i="14"/>
  <c r="G299" i="14"/>
  <c r="J298" i="14"/>
  <c r="G298" i="14"/>
  <c r="Z298" i="14" s="1"/>
  <c r="AB298" i="14" s="1"/>
  <c r="J297" i="14"/>
  <c r="G297" i="14"/>
  <c r="Z297" i="14" s="1"/>
  <c r="AB297" i="14" s="1"/>
  <c r="J296" i="14"/>
  <c r="G296" i="14"/>
  <c r="J295" i="14"/>
  <c r="G295" i="14"/>
  <c r="Z295" i="14" s="1"/>
  <c r="AB295" i="14" s="1"/>
  <c r="J294" i="14"/>
  <c r="G294" i="14"/>
  <c r="J293" i="14"/>
  <c r="G293" i="14"/>
  <c r="J292" i="14"/>
  <c r="G292" i="14"/>
  <c r="Z292" i="14" s="1"/>
  <c r="J291" i="14"/>
  <c r="G291" i="14"/>
  <c r="Z291" i="14" s="1"/>
  <c r="J290" i="14"/>
  <c r="Z290" i="14" s="1"/>
  <c r="AB290" i="14" s="1"/>
  <c r="G290" i="14"/>
  <c r="J289" i="14"/>
  <c r="G289" i="14"/>
  <c r="J288" i="14"/>
  <c r="G288" i="14"/>
  <c r="J287" i="14"/>
  <c r="G287" i="14"/>
  <c r="J286" i="14"/>
  <c r="G286" i="14"/>
  <c r="Z286" i="14" s="1"/>
  <c r="J285" i="14"/>
  <c r="G285" i="14"/>
  <c r="Z285" i="14" s="1"/>
  <c r="AB285" i="14" s="1"/>
  <c r="J284" i="14"/>
  <c r="G284" i="14"/>
  <c r="J283" i="14"/>
  <c r="G283" i="14"/>
  <c r="Z283" i="14" s="1"/>
  <c r="AB283" i="14" s="1"/>
  <c r="J282" i="14"/>
  <c r="G282" i="14"/>
  <c r="Z282" i="14" s="1"/>
  <c r="AB282" i="14" s="1"/>
  <c r="J281" i="14"/>
  <c r="Z281" i="14" s="1"/>
  <c r="AB281" i="14" s="1"/>
  <c r="G281" i="14"/>
  <c r="J280" i="14"/>
  <c r="G280" i="14"/>
  <c r="J279" i="14"/>
  <c r="G279" i="14"/>
  <c r="J278" i="14"/>
  <c r="G278" i="14"/>
  <c r="Y274" i="14"/>
  <c r="X274" i="14"/>
  <c r="W274" i="14"/>
  <c r="J566" i="14"/>
  <c r="Z567" i="14"/>
  <c r="G371" i="14"/>
  <c r="Z372" i="14" s="1"/>
  <c r="Z376" i="14"/>
  <c r="U377" i="14"/>
  <c r="Z289" i="14"/>
  <c r="AB289" i="14" s="1"/>
  <c r="S382" i="14"/>
  <c r="Z422" i="14"/>
  <c r="G388" i="14"/>
  <c r="U388" i="14" s="1"/>
  <c r="S388" i="14"/>
  <c r="J303" i="14"/>
  <c r="AB292" i="14"/>
  <c r="Z287" i="14"/>
  <c r="AB287" i="14" s="1"/>
  <c r="Z299" i="14"/>
  <c r="AB299" i="14" s="1"/>
  <c r="U380" i="14"/>
  <c r="S380" i="14"/>
  <c r="S383" i="14"/>
  <c r="Q383" i="14"/>
  <c r="W392" i="14"/>
  <c r="U386" i="14"/>
  <c r="S386" i="14"/>
  <c r="S392" i="14"/>
  <c r="Z288" i="14"/>
  <c r="AB288" i="14" s="1"/>
  <c r="AB302" i="14"/>
  <c r="AB397" i="14"/>
  <c r="G20" i="13"/>
  <c r="AB465" i="14"/>
  <c r="AB291" i="14"/>
  <c r="AB440" i="14"/>
  <c r="AB444" i="14"/>
  <c r="S387" i="14"/>
  <c r="Z279" i="14"/>
  <c r="AB279" i="14" s="1"/>
  <c r="Z305" i="14"/>
  <c r="AB305" i="14" s="1"/>
  <c r="Q375" i="14"/>
  <c r="U378" i="14"/>
  <c r="E432" i="14"/>
  <c r="G432" i="14"/>
  <c r="Z434" i="14"/>
  <c r="AB434" i="14" s="1"/>
  <c r="AB442" i="14"/>
  <c r="AB447" i="14"/>
  <c r="M19" i="13"/>
  <c r="M27" i="13" s="1"/>
  <c r="AB286" i="14"/>
  <c r="W375" i="14"/>
  <c r="S377" i="14"/>
  <c r="Q377" i="14"/>
  <c r="W379" i="14"/>
  <c r="Q381" i="14"/>
  <c r="W383" i="14"/>
  <c r="Q385" i="14"/>
  <c r="W387" i="14"/>
  <c r="Q391" i="14"/>
  <c r="Q393" i="14"/>
  <c r="J349" i="14"/>
  <c r="J371" i="14"/>
  <c r="Q378" i="14"/>
  <c r="W380" i="14"/>
  <c r="Q382" i="14"/>
  <c r="W384" i="14"/>
  <c r="Q386" i="14"/>
  <c r="Q392" i="14"/>
  <c r="W393" i="14"/>
  <c r="AB398" i="14"/>
  <c r="AB402" i="14"/>
  <c r="AB443" i="14"/>
  <c r="AB445" i="14"/>
  <c r="L539" i="14"/>
  <c r="L20" i="13"/>
  <c r="N19" i="13"/>
  <c r="L19" i="13"/>
  <c r="W377" i="14"/>
  <c r="W381" i="14"/>
  <c r="W385" i="14"/>
  <c r="U393" i="14"/>
  <c r="Z375" i="14"/>
  <c r="AB400" i="14"/>
  <c r="G431" i="14"/>
  <c r="AB441" i="14"/>
  <c r="AB448" i="14"/>
  <c r="V274" i="14"/>
  <c r="U274" i="14"/>
  <c r="T274" i="14"/>
  <c r="S274" i="14"/>
  <c r="R274" i="14"/>
  <c r="Q274" i="14"/>
  <c r="P274" i="14"/>
  <c r="O274" i="14"/>
  <c r="Q388" i="14"/>
  <c r="AB376" i="14"/>
  <c r="AB422" i="14"/>
  <c r="E19" i="13"/>
  <c r="E27" i="13" s="1"/>
  <c r="L27" i="13"/>
  <c r="AB375" i="14"/>
  <c r="M274" i="14"/>
  <c r="I274" i="14"/>
  <c r="H274" i="14"/>
  <c r="F274" i="14"/>
  <c r="D274" i="14"/>
  <c r="C274" i="14"/>
  <c r="B274" i="14"/>
  <c r="G272" i="14"/>
  <c r="E272" i="14"/>
  <c r="G271" i="14"/>
  <c r="E271" i="14"/>
  <c r="G270" i="14"/>
  <c r="E270" i="14"/>
  <c r="G269" i="14"/>
  <c r="E269" i="14"/>
  <c r="G268" i="14"/>
  <c r="E268" i="14"/>
  <c r="G267" i="14"/>
  <c r="E267" i="14"/>
  <c r="G266" i="14"/>
  <c r="E266" i="14"/>
  <c r="G265" i="14"/>
  <c r="E265" i="14"/>
  <c r="G264" i="14"/>
  <c r="E264" i="14"/>
  <c r="G263" i="14"/>
  <c r="E263" i="14"/>
  <c r="E274" i="14" s="1"/>
  <c r="G262" i="14"/>
  <c r="G261" i="14"/>
  <c r="J260" i="14"/>
  <c r="G260" i="14"/>
  <c r="K259" i="14"/>
  <c r="J259" i="14"/>
  <c r="Z259" i="14" s="1"/>
  <c r="G259" i="14"/>
  <c r="J258" i="14"/>
  <c r="G258" i="14"/>
  <c r="Z258" i="14" s="1"/>
  <c r="AB258" i="14" s="1"/>
  <c r="J257" i="14"/>
  <c r="G257" i="14"/>
  <c r="J256" i="14"/>
  <c r="Z256" i="14" s="1"/>
  <c r="G256" i="14"/>
  <c r="J255" i="14"/>
  <c r="G255" i="14"/>
  <c r="Z255" i="14" s="1"/>
  <c r="J254" i="14"/>
  <c r="G254" i="14"/>
  <c r="Z254" i="14" s="1"/>
  <c r="AB254" i="14" s="1"/>
  <c r="J253" i="14"/>
  <c r="G253" i="14"/>
  <c r="J252" i="14"/>
  <c r="G252" i="14"/>
  <c r="J251" i="14"/>
  <c r="G251" i="14"/>
  <c r="J250" i="14"/>
  <c r="Z250" i="14" s="1"/>
  <c r="G250" i="14"/>
  <c r="J249" i="14"/>
  <c r="G249" i="14"/>
  <c r="Z249" i="14" s="1"/>
  <c r="AB249" i="14" s="1"/>
  <c r="J248" i="14"/>
  <c r="G248" i="14"/>
  <c r="Z248" i="14" s="1"/>
  <c r="AB248" i="14" s="1"/>
  <c r="J247" i="14"/>
  <c r="Z247" i="14" s="1"/>
  <c r="AB247" i="14" s="1"/>
  <c r="G247" i="14"/>
  <c r="J246" i="14"/>
  <c r="G246" i="14"/>
  <c r="Z246" i="14" s="1"/>
  <c r="AB246" i="14" s="1"/>
  <c r="J245" i="14"/>
  <c r="G245" i="14"/>
  <c r="J244" i="14"/>
  <c r="Z244" i="14" s="1"/>
  <c r="G244" i="14"/>
  <c r="J243" i="14"/>
  <c r="G243" i="14"/>
  <c r="J242" i="14"/>
  <c r="G242" i="14"/>
  <c r="J241" i="14"/>
  <c r="G241" i="14"/>
  <c r="J240" i="14"/>
  <c r="G240" i="14"/>
  <c r="Z240" i="14" s="1"/>
  <c r="AB240" i="14" s="1"/>
  <c r="J239" i="14"/>
  <c r="G239" i="14"/>
  <c r="J238" i="14"/>
  <c r="G238" i="14"/>
  <c r="J237" i="14"/>
  <c r="G237" i="14"/>
  <c r="Z237" i="14" s="1"/>
  <c r="AB237" i="14" s="1"/>
  <c r="J236" i="14"/>
  <c r="G236" i="14"/>
  <c r="J235" i="14"/>
  <c r="G235" i="14"/>
  <c r="J234" i="14"/>
  <c r="G234" i="14"/>
  <c r="Z234" i="14" s="1"/>
  <c r="J233" i="14"/>
  <c r="G233" i="14"/>
  <c r="Z233" i="14" s="1"/>
  <c r="AB233" i="14" s="1"/>
  <c r="J232" i="14"/>
  <c r="G232" i="14"/>
  <c r="J231" i="14"/>
  <c r="G231" i="14"/>
  <c r="G274" i="14" s="1"/>
  <c r="J230" i="14"/>
  <c r="G230" i="14"/>
  <c r="Z230" i="14" s="1"/>
  <c r="AB230" i="14" s="1"/>
  <c r="Y226" i="14"/>
  <c r="X226" i="14"/>
  <c r="W226" i="14"/>
  <c r="V226" i="14"/>
  <c r="D26" i="13" s="1"/>
  <c r="U226" i="14"/>
  <c r="T226" i="14"/>
  <c r="D23" i="13" s="1"/>
  <c r="S226" i="14"/>
  <c r="R226" i="14"/>
  <c r="D22" i="13" s="1"/>
  <c r="Q226" i="14"/>
  <c r="P226" i="14"/>
  <c r="D24" i="13" s="1"/>
  <c r="M226" i="14"/>
  <c r="D20" i="13"/>
  <c r="D27" i="13" s="1"/>
  <c r="J226" i="14"/>
  <c r="I226" i="14"/>
  <c r="H226" i="14"/>
  <c r="D12" i="13" s="1"/>
  <c r="F226" i="14"/>
  <c r="D226" i="14"/>
  <c r="C226" i="14"/>
  <c r="B226" i="14"/>
  <c r="G223" i="14"/>
  <c r="E223" i="14"/>
  <c r="G222" i="14"/>
  <c r="E222" i="14"/>
  <c r="G221" i="14"/>
  <c r="E221" i="14"/>
  <c r="G220" i="14"/>
  <c r="E220" i="14"/>
  <c r="G219" i="14"/>
  <c r="E219" i="14"/>
  <c r="E226" i="14" s="1"/>
  <c r="G218" i="14"/>
  <c r="G217" i="14"/>
  <c r="G216" i="14"/>
  <c r="G215" i="14"/>
  <c r="G214" i="14"/>
  <c r="G213" i="14"/>
  <c r="G212" i="14"/>
  <c r="G211" i="14"/>
  <c r="G210" i="14"/>
  <c r="G209" i="14"/>
  <c r="K208" i="14"/>
  <c r="G208" i="14"/>
  <c r="K207" i="14"/>
  <c r="G207" i="14"/>
  <c r="K206" i="14"/>
  <c r="G206" i="14"/>
  <c r="K205" i="14"/>
  <c r="G205" i="14"/>
  <c r="K204" i="14"/>
  <c r="G204" i="14"/>
  <c r="K203" i="14"/>
  <c r="G203" i="14"/>
  <c r="K202" i="14"/>
  <c r="G202" i="14"/>
  <c r="K201" i="14"/>
  <c r="G201" i="14"/>
  <c r="K200" i="14"/>
  <c r="G200" i="14"/>
  <c r="K199" i="14"/>
  <c r="G199" i="14"/>
  <c r="K198" i="14"/>
  <c r="G198" i="14"/>
  <c r="K197" i="14"/>
  <c r="G197" i="14"/>
  <c r="K196" i="14"/>
  <c r="G196" i="14"/>
  <c r="K195" i="14"/>
  <c r="G195" i="14"/>
  <c r="K194" i="14"/>
  <c r="G194" i="14"/>
  <c r="K193" i="14"/>
  <c r="G193" i="14"/>
  <c r="K192" i="14"/>
  <c r="G192" i="14"/>
  <c r="K191" i="14"/>
  <c r="G191" i="14"/>
  <c r="K190" i="14"/>
  <c r="G190" i="14"/>
  <c r="K189" i="14"/>
  <c r="G189" i="14"/>
  <c r="K188" i="14"/>
  <c r="G188" i="14"/>
  <c r="K187" i="14"/>
  <c r="G187" i="14"/>
  <c r="K186" i="14"/>
  <c r="G186" i="14"/>
  <c r="K185" i="14"/>
  <c r="G185" i="14"/>
  <c r="K184" i="14"/>
  <c r="G184" i="14"/>
  <c r="K183" i="14"/>
  <c r="G183" i="14"/>
  <c r="K182" i="14"/>
  <c r="K226" i="14" s="1"/>
  <c r="D19" i="13" s="1"/>
  <c r="G182" i="14"/>
  <c r="K181" i="14"/>
  <c r="G181" i="14"/>
  <c r="K180" i="14"/>
  <c r="G180" i="14"/>
  <c r="Y176" i="14"/>
  <c r="X176" i="14"/>
  <c r="W176" i="14"/>
  <c r="V176" i="14"/>
  <c r="U176" i="14"/>
  <c r="T176" i="14"/>
  <c r="S176" i="14"/>
  <c r="R176" i="14"/>
  <c r="Q176" i="14"/>
  <c r="P176" i="14"/>
  <c r="N176" i="14"/>
  <c r="M176" i="14"/>
  <c r="J176" i="14"/>
  <c r="I176" i="14"/>
  <c r="H176" i="14"/>
  <c r="F176" i="14"/>
  <c r="C176" i="14"/>
  <c r="B176" i="14"/>
  <c r="G173" i="14"/>
  <c r="E173" i="14"/>
  <c r="G172" i="14"/>
  <c r="E172" i="14"/>
  <c r="G171" i="14"/>
  <c r="E171" i="14"/>
  <c r="G170" i="14"/>
  <c r="E170" i="14"/>
  <c r="G169" i="14"/>
  <c r="Z169" i="14"/>
  <c r="AB169" i="14" s="1"/>
  <c r="E169" i="14"/>
  <c r="G168" i="14"/>
  <c r="Z168" i="14"/>
  <c r="AB168" i="14" s="1"/>
  <c r="E168" i="14"/>
  <c r="G167" i="14"/>
  <c r="G166" i="14"/>
  <c r="G165" i="14"/>
  <c r="G164" i="14"/>
  <c r="E164" i="14"/>
  <c r="G163" i="14"/>
  <c r="G162" i="14"/>
  <c r="Z161" i="14"/>
  <c r="AB161" i="14" s="1"/>
  <c r="G160" i="14"/>
  <c r="G159" i="14"/>
  <c r="K158" i="14"/>
  <c r="G158" i="14"/>
  <c r="K157" i="14"/>
  <c r="G157" i="14"/>
  <c r="K156" i="14"/>
  <c r="G156" i="14"/>
  <c r="K155" i="14"/>
  <c r="G155" i="14"/>
  <c r="K154" i="14"/>
  <c r="G154" i="14"/>
  <c r="K153" i="14"/>
  <c r="G153" i="14"/>
  <c r="K152" i="14"/>
  <c r="G152" i="14"/>
  <c r="K151" i="14"/>
  <c r="G151" i="14"/>
  <c r="K150" i="14"/>
  <c r="G150" i="14"/>
  <c r="K149" i="14"/>
  <c r="G149" i="14"/>
  <c r="K148" i="14"/>
  <c r="G148" i="14"/>
  <c r="K147" i="14"/>
  <c r="G147" i="14"/>
  <c r="K146" i="14"/>
  <c r="G146" i="14"/>
  <c r="K145" i="14"/>
  <c r="G145" i="14"/>
  <c r="K144" i="14"/>
  <c r="G144" i="14"/>
  <c r="K143" i="14"/>
  <c r="G143" i="14"/>
  <c r="K142" i="14"/>
  <c r="G142" i="14"/>
  <c r="K141" i="14"/>
  <c r="G141" i="14"/>
  <c r="K140" i="14"/>
  <c r="G140" i="14"/>
  <c r="K139" i="14"/>
  <c r="G139" i="14"/>
  <c r="K138" i="14"/>
  <c r="G138" i="14"/>
  <c r="K137" i="14"/>
  <c r="G137" i="14"/>
  <c r="K136" i="14"/>
  <c r="G136" i="14"/>
  <c r="K135" i="14"/>
  <c r="G135" i="14"/>
  <c r="K134" i="14"/>
  <c r="G134" i="14"/>
  <c r="K133" i="14"/>
  <c r="G133" i="14"/>
  <c r="K132" i="14"/>
  <c r="G132" i="14"/>
  <c r="K131" i="14"/>
  <c r="G131" i="14"/>
  <c r="K130" i="14"/>
  <c r="G130" i="14"/>
  <c r="K129" i="14"/>
  <c r="G129" i="14"/>
  <c r="K128" i="14"/>
  <c r="G128" i="14"/>
  <c r="K127" i="14"/>
  <c r="G127" i="14"/>
  <c r="K126" i="14"/>
  <c r="K176" i="14" s="1"/>
  <c r="G126" i="14"/>
  <c r="Y122" i="14"/>
  <c r="X122" i="14"/>
  <c r="W122" i="14"/>
  <c r="V122" i="14"/>
  <c r="C26" i="13"/>
  <c r="U122" i="14"/>
  <c r="T122" i="14"/>
  <c r="C23" i="13"/>
  <c r="S122" i="14"/>
  <c r="R122" i="14"/>
  <c r="C22" i="13"/>
  <c r="Q122" i="14"/>
  <c r="P122" i="14"/>
  <c r="C24" i="13"/>
  <c r="N122" i="14"/>
  <c r="M122" i="14"/>
  <c r="J122" i="14"/>
  <c r="C19" i="13" s="1"/>
  <c r="C27" i="13" s="1"/>
  <c r="I122" i="14"/>
  <c r="H122" i="14"/>
  <c r="C12" i="13" s="1"/>
  <c r="F122" i="14"/>
  <c r="D122" i="14"/>
  <c r="C122" i="14"/>
  <c r="B122" i="14"/>
  <c r="Z253" i="14"/>
  <c r="AB253" i="14" s="1"/>
  <c r="Z257" i="14"/>
  <c r="AB257" i="14"/>
  <c r="Z238" i="14"/>
  <c r="AB238" i="14" s="1"/>
  <c r="AB250" i="14"/>
  <c r="Z242" i="14"/>
  <c r="AB242" i="14" s="1"/>
  <c r="Z245" i="14"/>
  <c r="AB245" i="14"/>
  <c r="L126" i="14"/>
  <c r="Z239" i="14"/>
  <c r="AB239" i="14"/>
  <c r="K274" i="14"/>
  <c r="L274" i="14" s="1"/>
  <c r="G226" i="14"/>
  <c r="N274" i="14"/>
  <c r="Z260" i="14"/>
  <c r="AB260" i="14" s="1"/>
  <c r="D13" i="13"/>
  <c r="E176" i="14"/>
  <c r="Z236" i="14"/>
  <c r="AB236" i="14" s="1"/>
  <c r="Z251" i="14"/>
  <c r="AB251" i="14" s="1"/>
  <c r="AB255" i="14"/>
  <c r="Z167" i="14"/>
  <c r="AB167" i="14" s="1"/>
  <c r="Z180" i="14"/>
  <c r="AB180" i="14" s="1"/>
  <c r="AB234" i="14"/>
  <c r="Z241" i="14"/>
  <c r="AB241" i="14" s="1"/>
  <c r="AB244" i="14"/>
  <c r="Z252" i="14"/>
  <c r="AB252" i="14" s="1"/>
  <c r="AB256" i="14"/>
  <c r="G119" i="14"/>
  <c r="Z119" i="14"/>
  <c r="AB119" i="14" s="1"/>
  <c r="E119" i="14"/>
  <c r="G118" i="14"/>
  <c r="E118" i="14"/>
  <c r="G117" i="14"/>
  <c r="E117" i="14"/>
  <c r="G116" i="14"/>
  <c r="E116" i="14"/>
  <c r="G115" i="14"/>
  <c r="E115" i="14"/>
  <c r="G114" i="14"/>
  <c r="Z114" i="14"/>
  <c r="G113" i="14"/>
  <c r="G112" i="14"/>
  <c r="G111" i="14"/>
  <c r="G110" i="14"/>
  <c r="E110" i="14"/>
  <c r="G109" i="14"/>
  <c r="G108" i="14"/>
  <c r="Z108" i="14"/>
  <c r="AB108" i="14"/>
  <c r="Z107" i="14"/>
  <c r="AB107" i="14"/>
  <c r="G106" i="14"/>
  <c r="G105" i="14"/>
  <c r="K104" i="14"/>
  <c r="G104" i="14"/>
  <c r="K103" i="14"/>
  <c r="G103" i="14"/>
  <c r="K102" i="14"/>
  <c r="G102" i="14"/>
  <c r="K101" i="14"/>
  <c r="G101" i="14"/>
  <c r="K100" i="14"/>
  <c r="G100" i="14"/>
  <c r="K99" i="14"/>
  <c r="G99" i="14"/>
  <c r="K98" i="14"/>
  <c r="G98" i="14"/>
  <c r="K97" i="14"/>
  <c r="G97" i="14"/>
  <c r="K96" i="14"/>
  <c r="G96" i="14"/>
  <c r="K95" i="14"/>
  <c r="G95" i="14"/>
  <c r="K94" i="14"/>
  <c r="G94" i="14"/>
  <c r="K93" i="14"/>
  <c r="G93" i="14"/>
  <c r="K92" i="14"/>
  <c r="G92" i="14"/>
  <c r="K91" i="14"/>
  <c r="G91" i="14"/>
  <c r="K90" i="14"/>
  <c r="G90" i="14"/>
  <c r="K89" i="14"/>
  <c r="G89" i="14"/>
  <c r="K88" i="14"/>
  <c r="G88" i="14"/>
  <c r="K87" i="14"/>
  <c r="G87" i="14"/>
  <c r="K86" i="14"/>
  <c r="G86" i="14"/>
  <c r="K85" i="14"/>
  <c r="G85" i="14"/>
  <c r="K84" i="14"/>
  <c r="G84" i="14"/>
  <c r="K83" i="14"/>
  <c r="G83" i="14"/>
  <c r="K82" i="14"/>
  <c r="G82" i="14"/>
  <c r="K81" i="14"/>
  <c r="G81" i="14"/>
  <c r="K80" i="14"/>
  <c r="G80" i="14"/>
  <c r="K79" i="14"/>
  <c r="G79" i="14"/>
  <c r="K78" i="14"/>
  <c r="G78" i="14"/>
  <c r="K77" i="14"/>
  <c r="G77" i="14"/>
  <c r="K76" i="14"/>
  <c r="G76" i="14"/>
  <c r="K75" i="14"/>
  <c r="G75" i="14"/>
  <c r="K74" i="14"/>
  <c r="G74" i="14"/>
  <c r="K73" i="14"/>
  <c r="G73" i="14"/>
  <c r="K72" i="14"/>
  <c r="G72" i="14"/>
  <c r="K71" i="14"/>
  <c r="G71" i="14"/>
  <c r="K70" i="14"/>
  <c r="G70" i="14"/>
  <c r="K69" i="14"/>
  <c r="K122" i="14" s="1"/>
  <c r="L122" i="14" s="1"/>
  <c r="G69" i="14"/>
  <c r="K68" i="14"/>
  <c r="G68" i="14"/>
  <c r="Y64" i="14"/>
  <c r="X64" i="14"/>
  <c r="W64" i="14"/>
  <c r="V64" i="14"/>
  <c r="B26" i="13"/>
  <c r="U64" i="14"/>
  <c r="T64" i="14"/>
  <c r="B23" i="13"/>
  <c r="S64" i="14"/>
  <c r="R64" i="14"/>
  <c r="B22" i="13"/>
  <c r="Q64" i="14"/>
  <c r="P64" i="14"/>
  <c r="B24" i="13"/>
  <c r="N64" i="14"/>
  <c r="M64" i="14"/>
  <c r="J64" i="14"/>
  <c r="B19" i="13"/>
  <c r="I64" i="14"/>
  <c r="H64" i="14"/>
  <c r="B12" i="13"/>
  <c r="F64" i="14"/>
  <c r="D64" i="14"/>
  <c r="C64" i="14"/>
  <c r="B64" i="14"/>
  <c r="G61" i="14"/>
  <c r="E61" i="14"/>
  <c r="G60" i="14"/>
  <c r="E60" i="14"/>
  <c r="G59" i="14"/>
  <c r="E59" i="14"/>
  <c r="G58" i="14"/>
  <c r="E58" i="14"/>
  <c r="G57" i="14"/>
  <c r="E57" i="14"/>
  <c r="G56" i="14"/>
  <c r="Z55" i="14"/>
  <c r="G54" i="14"/>
  <c r="G53" i="14"/>
  <c r="K52" i="14"/>
  <c r="G52" i="14"/>
  <c r="K51" i="14"/>
  <c r="G51" i="14"/>
  <c r="K50" i="14"/>
  <c r="G50" i="14"/>
  <c r="Z49" i="14"/>
  <c r="AB49" i="14" s="1"/>
  <c r="K49" i="14"/>
  <c r="Z48" i="14"/>
  <c r="AB48" i="14"/>
  <c r="K48" i="14"/>
  <c r="Z47" i="14"/>
  <c r="AB47" i="14" s="1"/>
  <c r="K47" i="14"/>
  <c r="Z46" i="14"/>
  <c r="AB46" i="14"/>
  <c r="K46" i="14"/>
  <c r="Z45" i="14"/>
  <c r="AB45" i="14" s="1"/>
  <c r="K45" i="14"/>
  <c r="Z44" i="14"/>
  <c r="AB44" i="14"/>
  <c r="K44" i="14"/>
  <c r="Z43" i="14"/>
  <c r="AB43" i="14" s="1"/>
  <c r="K43" i="14"/>
  <c r="Z42" i="14"/>
  <c r="AB42" i="14"/>
  <c r="K42" i="14"/>
  <c r="Z41" i="14"/>
  <c r="AB41" i="14" s="1"/>
  <c r="K41" i="14"/>
  <c r="Z40" i="14"/>
  <c r="AB40" i="14"/>
  <c r="K40" i="14"/>
  <c r="Z39" i="14"/>
  <c r="AB39" i="14" s="1"/>
  <c r="K39" i="14"/>
  <c r="Z38" i="14"/>
  <c r="AB38" i="14"/>
  <c r="K38" i="14"/>
  <c r="Z37" i="14"/>
  <c r="AB37" i="14" s="1"/>
  <c r="K37" i="14"/>
  <c r="Z36" i="14"/>
  <c r="AB36" i="14"/>
  <c r="K36" i="14"/>
  <c r="Z35" i="14"/>
  <c r="AB35" i="14" s="1"/>
  <c r="K35" i="14"/>
  <c r="Z34" i="14"/>
  <c r="AB34" i="14"/>
  <c r="K34" i="14"/>
  <c r="Z33" i="14"/>
  <c r="AB33" i="14" s="1"/>
  <c r="K33" i="14"/>
  <c r="Z32" i="14"/>
  <c r="AB32" i="14"/>
  <c r="K32" i="14"/>
  <c r="Z31" i="14"/>
  <c r="AB31" i="14" s="1"/>
  <c r="K31" i="14"/>
  <c r="Z30" i="14"/>
  <c r="AB30" i="14"/>
  <c r="K30" i="14"/>
  <c r="Z29" i="14"/>
  <c r="AB29" i="14" s="1"/>
  <c r="K29" i="14"/>
  <c r="Z28" i="14"/>
  <c r="AB28" i="14"/>
  <c r="K28" i="14"/>
  <c r="Z27" i="14"/>
  <c r="AB27" i="14" s="1"/>
  <c r="K27" i="14"/>
  <c r="Z26" i="14"/>
  <c r="AB26" i="14"/>
  <c r="K26" i="14"/>
  <c r="Z25" i="14"/>
  <c r="AB25" i="14" s="1"/>
  <c r="K25" i="14"/>
  <c r="Z24" i="14"/>
  <c r="AB24" i="14"/>
  <c r="K24" i="14"/>
  <c r="Z23" i="14"/>
  <c r="AB23" i="14" s="1"/>
  <c r="K23" i="14"/>
  <c r="Z22" i="14"/>
  <c r="AB22" i="14"/>
  <c r="K22" i="14"/>
  <c r="Z21" i="14"/>
  <c r="AB21" i="14" s="1"/>
  <c r="K21" i="14"/>
  <c r="Z20" i="14"/>
  <c r="AB20" i="14"/>
  <c r="K20" i="14"/>
  <c r="Z19" i="14"/>
  <c r="AB19" i="14" s="1"/>
  <c r="K19" i="14"/>
  <c r="Z18" i="14"/>
  <c r="AB18" i="14"/>
  <c r="K18" i="14"/>
  <c r="Z17" i="14"/>
  <c r="AB17" i="14" s="1"/>
  <c r="K17" i="14"/>
  <c r="Z15" i="14"/>
  <c r="AB15" i="14"/>
  <c r="K15" i="14"/>
  <c r="Z14" i="14"/>
  <c r="AB14" i="14" s="1"/>
  <c r="K14" i="14"/>
  <c r="Z13" i="14"/>
  <c r="AB13" i="14"/>
  <c r="K13" i="14"/>
  <c r="Z12" i="14"/>
  <c r="AB12" i="14" s="1"/>
  <c r="K12" i="14"/>
  <c r="Z11" i="14"/>
  <c r="AB11" i="14"/>
  <c r="K11" i="14"/>
  <c r="Z10" i="14"/>
  <c r="AB10" i="14" s="1"/>
  <c r="K10" i="14"/>
  <c r="Z9" i="14"/>
  <c r="AB9" i="14"/>
  <c r="K9" i="14"/>
  <c r="Z8" i="14"/>
  <c r="AB8" i="14" s="1"/>
  <c r="K8" i="14"/>
  <c r="Z7" i="14"/>
  <c r="AB7" i="14"/>
  <c r="K7" i="14"/>
  <c r="Z6" i="14"/>
  <c r="AB6" i="14" s="1"/>
  <c r="K6" i="14"/>
  <c r="Z5" i="14"/>
  <c r="AB5" i="14"/>
  <c r="K5" i="14"/>
  <c r="E24" i="12"/>
  <c r="C24" i="12"/>
  <c r="D24" i="12"/>
  <c r="G9" i="13"/>
  <c r="G14" i="13" s="1"/>
  <c r="H9" i="13"/>
  <c r="H14" i="13" s="1"/>
  <c r="I9" i="13"/>
  <c r="I14" i="13" s="1"/>
  <c r="E122" i="14"/>
  <c r="L226" i="14"/>
  <c r="AB55" i="14"/>
  <c r="K64" i="14"/>
  <c r="AB114" i="14"/>
  <c r="Z52" i="14"/>
  <c r="AB52" i="14"/>
  <c r="B27" i="13"/>
  <c r="G122" i="14"/>
  <c r="Z68" i="14"/>
  <c r="Z113" i="14"/>
  <c r="AB113" i="14"/>
  <c r="J9" i="13"/>
  <c r="J34" i="13" s="1"/>
  <c r="K9" i="13"/>
  <c r="K34" i="13" s="1"/>
  <c r="AB68" i="14"/>
  <c r="F24" i="12"/>
  <c r="E29" i="13"/>
  <c r="I29" i="13"/>
  <c r="I24" i="12"/>
  <c r="G29" i="13"/>
  <c r="J24" i="12"/>
  <c r="G24" i="12"/>
  <c r="H24" i="12"/>
  <c r="M8" i="13"/>
  <c r="N8" i="13"/>
  <c r="H29" i="13"/>
  <c r="L29" i="13"/>
  <c r="AD14" i="5"/>
  <c r="AE14" i="5"/>
  <c r="Z14" i="5"/>
  <c r="V14" i="5"/>
  <c r="R14" i="5"/>
  <c r="N14" i="5"/>
  <c r="AD16" i="5"/>
  <c r="AE16" i="5" s="1"/>
  <c r="Z16" i="5"/>
  <c r="V16" i="5"/>
  <c r="W16" i="5" s="1"/>
  <c r="R16" i="5"/>
  <c r="N16" i="5"/>
  <c r="O16" i="5"/>
  <c r="AD9" i="5"/>
  <c r="Z9" i="5"/>
  <c r="V9" i="5"/>
  <c r="R9" i="5"/>
  <c r="J53" i="5"/>
  <c r="J55" i="5"/>
  <c r="K55" i="5" s="1"/>
  <c r="J56" i="5"/>
  <c r="J57" i="5"/>
  <c r="J58" i="5"/>
  <c r="N9" i="5"/>
  <c r="N10" i="5"/>
  <c r="N11" i="5"/>
  <c r="N12" i="5"/>
  <c r="O12" i="5" s="1"/>
  <c r="N15" i="5"/>
  <c r="N17" i="5"/>
  <c r="O17" i="5" s="1"/>
  <c r="N18" i="5"/>
  <c r="N19" i="5"/>
  <c r="O19" i="5" s="1"/>
  <c r="N20" i="5"/>
  <c r="N21" i="5"/>
  <c r="N23" i="5"/>
  <c r="N24" i="5"/>
  <c r="O24" i="5"/>
  <c r="N25" i="5"/>
  <c r="N26" i="5"/>
  <c r="N27" i="5"/>
  <c r="N28" i="5"/>
  <c r="N29" i="5"/>
  <c r="O29" i="5" s="1"/>
  <c r="N30" i="5"/>
  <c r="N31" i="5"/>
  <c r="O31" i="5" s="1"/>
  <c r="N32" i="5"/>
  <c r="N33" i="5"/>
  <c r="O33" i="5"/>
  <c r="N34" i="5"/>
  <c r="N35" i="5"/>
  <c r="N36" i="5"/>
  <c r="N37" i="5"/>
  <c r="N38" i="5"/>
  <c r="N39" i="5"/>
  <c r="N40" i="5"/>
  <c r="O40" i="5" s="1"/>
  <c r="N41" i="5"/>
  <c r="N42" i="5"/>
  <c r="O42" i="5"/>
  <c r="N43" i="5"/>
  <c r="N44" i="5"/>
  <c r="N45" i="5"/>
  <c r="N46" i="5"/>
  <c r="N47" i="5"/>
  <c r="O47" i="5" s="1"/>
  <c r="N48" i="5"/>
  <c r="N49" i="5"/>
  <c r="N50" i="5"/>
  <c r="N51" i="5"/>
  <c r="O51" i="5"/>
  <c r="N52" i="5"/>
  <c r="N53" i="5"/>
  <c r="N54" i="5"/>
  <c r="N55" i="5"/>
  <c r="N57" i="5"/>
  <c r="N58" i="5"/>
  <c r="O58" i="5" s="1"/>
  <c r="R10" i="5"/>
  <c r="R11" i="5"/>
  <c r="S11" i="5"/>
  <c r="R12" i="5"/>
  <c r="R13" i="5"/>
  <c r="R15" i="5"/>
  <c r="R17" i="5"/>
  <c r="R18" i="5"/>
  <c r="R19" i="5"/>
  <c r="R20" i="5"/>
  <c r="S20" i="5" s="1"/>
  <c r="R21" i="5"/>
  <c r="R22" i="5"/>
  <c r="S22" i="5"/>
  <c r="R23" i="5"/>
  <c r="R24" i="5"/>
  <c r="R25" i="5"/>
  <c r="R26" i="5"/>
  <c r="R27" i="5"/>
  <c r="S27" i="5" s="1"/>
  <c r="R28" i="5"/>
  <c r="R29" i="5"/>
  <c r="R30" i="5"/>
  <c r="R31" i="5"/>
  <c r="S31" i="5"/>
  <c r="R32" i="5"/>
  <c r="R33" i="5"/>
  <c r="R34" i="5"/>
  <c r="R35" i="5"/>
  <c r="R36" i="5"/>
  <c r="S36" i="5" s="1"/>
  <c r="R37" i="5"/>
  <c r="R38" i="5"/>
  <c r="S38" i="5" s="1"/>
  <c r="R39" i="5"/>
  <c r="R40" i="5"/>
  <c r="S40" i="5"/>
  <c r="R41" i="5"/>
  <c r="R42" i="5"/>
  <c r="R43" i="5"/>
  <c r="R44" i="5"/>
  <c r="R45" i="5"/>
  <c r="R46" i="5"/>
  <c r="R47" i="5"/>
  <c r="S47" i="5" s="1"/>
  <c r="R48" i="5"/>
  <c r="R49" i="5"/>
  <c r="S49" i="5"/>
  <c r="R50" i="5"/>
  <c r="R51" i="5"/>
  <c r="R52" i="5"/>
  <c r="R53" i="5"/>
  <c r="R54" i="5"/>
  <c r="S54" i="5" s="1"/>
  <c r="R55" i="5"/>
  <c r="R56" i="5"/>
  <c r="R57" i="5"/>
  <c r="R58" i="5"/>
  <c r="S58" i="5"/>
  <c r="V10" i="5"/>
  <c r="V11" i="5"/>
  <c r="V12" i="5"/>
  <c r="V13" i="5"/>
  <c r="V15" i="5"/>
  <c r="V17" i="5"/>
  <c r="V18" i="5"/>
  <c r="W18" i="5" s="1"/>
  <c r="V19" i="5"/>
  <c r="V20" i="5"/>
  <c r="V21" i="5"/>
  <c r="V22" i="5"/>
  <c r="W22" i="5"/>
  <c r="V23" i="5"/>
  <c r="V24" i="5"/>
  <c r="V25" i="5"/>
  <c r="V26" i="5"/>
  <c r="V27" i="5"/>
  <c r="W27" i="5" s="1"/>
  <c r="V28" i="5"/>
  <c r="V29" i="5"/>
  <c r="W29" i="5" s="1"/>
  <c r="V30" i="5"/>
  <c r="V31" i="5"/>
  <c r="W31" i="5"/>
  <c r="V32" i="5"/>
  <c r="V33" i="5"/>
  <c r="V34" i="5"/>
  <c r="V35" i="5"/>
  <c r="V36" i="5"/>
  <c r="W36" i="5" s="1"/>
  <c r="V37" i="5"/>
  <c r="V38" i="5"/>
  <c r="W38" i="5" s="1"/>
  <c r="V39" i="5"/>
  <c r="V40" i="5"/>
  <c r="W40" i="5"/>
  <c r="V41" i="5"/>
  <c r="V42" i="5"/>
  <c r="V43" i="5"/>
  <c r="V44" i="5"/>
  <c r="V45" i="5"/>
  <c r="W45" i="5" s="1"/>
  <c r="V46" i="5"/>
  <c r="V47" i="5"/>
  <c r="W47" i="5" s="1"/>
  <c r="V48" i="5"/>
  <c r="V49" i="5"/>
  <c r="W49" i="5"/>
  <c r="V50" i="5"/>
  <c r="V51" i="5"/>
  <c r="V52" i="5"/>
  <c r="V53" i="5"/>
  <c r="V54" i="5"/>
  <c r="W54" i="5" s="1"/>
  <c r="V55" i="5"/>
  <c r="V56" i="5"/>
  <c r="W56" i="5" s="1"/>
  <c r="V57" i="5"/>
  <c r="V58" i="5"/>
  <c r="W58" i="5"/>
  <c r="Z10" i="5"/>
  <c r="Z11" i="5"/>
  <c r="Z12" i="5"/>
  <c r="Z13" i="5"/>
  <c r="Z15" i="5"/>
  <c r="AA15" i="5" s="1"/>
  <c r="Z17" i="5"/>
  <c r="Z18" i="5"/>
  <c r="AA18" i="5" s="1"/>
  <c r="Z19" i="5"/>
  <c r="Z20" i="5"/>
  <c r="AA20" i="5"/>
  <c r="Z21" i="5"/>
  <c r="Z22" i="5"/>
  <c r="Z23" i="5"/>
  <c r="Z24" i="5"/>
  <c r="Z25" i="5"/>
  <c r="AA25" i="5" s="1"/>
  <c r="Z26" i="5"/>
  <c r="Z27" i="5"/>
  <c r="AA27" i="5" s="1"/>
  <c r="Z28" i="5"/>
  <c r="Z29" i="5"/>
  <c r="AA29" i="5"/>
  <c r="Z30" i="5"/>
  <c r="Z31" i="5"/>
  <c r="Z32" i="5"/>
  <c r="Z33" i="5"/>
  <c r="Z34" i="5"/>
  <c r="AA34" i="5" s="1"/>
  <c r="Z35" i="5"/>
  <c r="Z36" i="5"/>
  <c r="AA36" i="5" s="1"/>
  <c r="Z37" i="5"/>
  <c r="Z38" i="5"/>
  <c r="AA38" i="5"/>
  <c r="Z39" i="5"/>
  <c r="Z40" i="5"/>
  <c r="Z41" i="5"/>
  <c r="Z42" i="5"/>
  <c r="Z43" i="5"/>
  <c r="AA43" i="5" s="1"/>
  <c r="Z44" i="5"/>
  <c r="Z45" i="5"/>
  <c r="AA45" i="5" s="1"/>
  <c r="Z46" i="5"/>
  <c r="Z47" i="5"/>
  <c r="AA47" i="5"/>
  <c r="Z48" i="5"/>
  <c r="Z49" i="5"/>
  <c r="Z50" i="5"/>
  <c r="Z51" i="5"/>
  <c r="Z52" i="5"/>
  <c r="AA52" i="5" s="1"/>
  <c r="Z53" i="5"/>
  <c r="Z54" i="5"/>
  <c r="AA54" i="5" s="1"/>
  <c r="Z55" i="5"/>
  <c r="Z57" i="5"/>
  <c r="AA57" i="5" s="1"/>
  <c r="Z58" i="5"/>
  <c r="AD10" i="5"/>
  <c r="AE10" i="5"/>
  <c r="AD11" i="5"/>
  <c r="AD12" i="5"/>
  <c r="AD13" i="5"/>
  <c r="AD15" i="5"/>
  <c r="AD17" i="5"/>
  <c r="AE17" i="5" s="1"/>
  <c r="AD18" i="5"/>
  <c r="AD19" i="5"/>
  <c r="AE19" i="5" s="1"/>
  <c r="AD20" i="5"/>
  <c r="AD21" i="5"/>
  <c r="AE21" i="5"/>
  <c r="AD22" i="5"/>
  <c r="AD23" i="5"/>
  <c r="AD24" i="5"/>
  <c r="AD25" i="5"/>
  <c r="AD26" i="5"/>
  <c r="AE26" i="5" s="1"/>
  <c r="AD27" i="5"/>
  <c r="AD28" i="5"/>
  <c r="AE28" i="5" s="1"/>
  <c r="AD29" i="5"/>
  <c r="AD30" i="5"/>
  <c r="AE30" i="5"/>
  <c r="AD31" i="5"/>
  <c r="AD32" i="5"/>
  <c r="AD33" i="5"/>
  <c r="AD34" i="5"/>
  <c r="AD35" i="5"/>
  <c r="AE35" i="5" s="1"/>
  <c r="AD36" i="5"/>
  <c r="AD37" i="5"/>
  <c r="AE37" i="5" s="1"/>
  <c r="AD38" i="5"/>
  <c r="AD39" i="5"/>
  <c r="AE39" i="5"/>
  <c r="AD40" i="5"/>
  <c r="AD41" i="5"/>
  <c r="AD42" i="5"/>
  <c r="AD43" i="5"/>
  <c r="AD44" i="5"/>
  <c r="AE44" i="5" s="1"/>
  <c r="AD45" i="5"/>
  <c r="AD46" i="5"/>
  <c r="AE46" i="5" s="1"/>
  <c r="AD47" i="5"/>
  <c r="AD48" i="5"/>
  <c r="AE48" i="5"/>
  <c r="AD49" i="5"/>
  <c r="AD50" i="5"/>
  <c r="AD51" i="5"/>
  <c r="AD52" i="5"/>
  <c r="AD53" i="5"/>
  <c r="AE53" i="5" s="1"/>
  <c r="AD54" i="5"/>
  <c r="AD55" i="5"/>
  <c r="AE55" i="5" s="1"/>
  <c r="AD56" i="5"/>
  <c r="AD58" i="5"/>
  <c r="AE58" i="5" s="1"/>
  <c r="J29" i="13"/>
  <c r="K29" i="13"/>
  <c r="Z69" i="14"/>
  <c r="AB69" i="14" s="1"/>
  <c r="Z70" i="14"/>
  <c r="AB70" i="14"/>
  <c r="Z71" i="14"/>
  <c r="AB71" i="14" s="1"/>
  <c r="Z72" i="14"/>
  <c r="AB72" i="14" s="1"/>
  <c r="Z73" i="14"/>
  <c r="AB73" i="14"/>
  <c r="Z74" i="14"/>
  <c r="AB74" i="14" s="1"/>
  <c r="Z75" i="14"/>
  <c r="Z76" i="14"/>
  <c r="AB76" i="14"/>
  <c r="Z77" i="14"/>
  <c r="AB77" i="14" s="1"/>
  <c r="Z78" i="14"/>
  <c r="AB78" i="14" s="1"/>
  <c r="Z79" i="14"/>
  <c r="AB79" i="14"/>
  <c r="Z80" i="14"/>
  <c r="AB80" i="14" s="1"/>
  <c r="Z81" i="14"/>
  <c r="AB81" i="14" s="1"/>
  <c r="Z82" i="14"/>
  <c r="AB82" i="14"/>
  <c r="Z83" i="14"/>
  <c r="AB83" i="14" s="1"/>
  <c r="Z84" i="14"/>
  <c r="AB84" i="14" s="1"/>
  <c r="Z85" i="14"/>
  <c r="AB85" i="14"/>
  <c r="Z86" i="14"/>
  <c r="AB86" i="14" s="1"/>
  <c r="Z87" i="14"/>
  <c r="AB87" i="14" s="1"/>
  <c r="Z88" i="14"/>
  <c r="AB88" i="14"/>
  <c r="Z89" i="14"/>
  <c r="AB89" i="14" s="1"/>
  <c r="Z90" i="14"/>
  <c r="AB90" i="14" s="1"/>
  <c r="Z91" i="14"/>
  <c r="AB91" i="14"/>
  <c r="Z92" i="14"/>
  <c r="AB92" i="14" s="1"/>
  <c r="Z93" i="14"/>
  <c r="AB93" i="14" s="1"/>
  <c r="Z94" i="14"/>
  <c r="AB94" i="14"/>
  <c r="Z95" i="14"/>
  <c r="AB95" i="14" s="1"/>
  <c r="Z96" i="14"/>
  <c r="AB96" i="14" s="1"/>
  <c r="Z97" i="14"/>
  <c r="AB97" i="14"/>
  <c r="Z98" i="14"/>
  <c r="AB98" i="14" s="1"/>
  <c r="Z99" i="14"/>
  <c r="AB99" i="14" s="1"/>
  <c r="Z100" i="14"/>
  <c r="AB100" i="14" s="1"/>
  <c r="Z101" i="14"/>
  <c r="Z102" i="14"/>
  <c r="AB102" i="14"/>
  <c r="Z103" i="14"/>
  <c r="AB103" i="14"/>
  <c r="Z104" i="14"/>
  <c r="AB104" i="14" s="1"/>
  <c r="Z105" i="14"/>
  <c r="AB105" i="14"/>
  <c r="Z106" i="14"/>
  <c r="AB106" i="14"/>
  <c r="Z109" i="14"/>
  <c r="AB109" i="14" s="1"/>
  <c r="Z110" i="14"/>
  <c r="AB110" i="14"/>
  <c r="Z111" i="14"/>
  <c r="AB111" i="14"/>
  <c r="Z112" i="14"/>
  <c r="AB112" i="14" s="1"/>
  <c r="Z115" i="14"/>
  <c r="AB115" i="14"/>
  <c r="Z116" i="14"/>
  <c r="AB116" i="14"/>
  <c r="Z117" i="14"/>
  <c r="AB117" i="14"/>
  <c r="Z118" i="14"/>
  <c r="AB118" i="14"/>
  <c r="Z58" i="14"/>
  <c r="AB58" i="14"/>
  <c r="Z54" i="14"/>
  <c r="AB54" i="14"/>
  <c r="Z60" i="14"/>
  <c r="AB60" i="14"/>
  <c r="Z59" i="14"/>
  <c r="AB59" i="14"/>
  <c r="Z51" i="14"/>
  <c r="AB51" i="14"/>
  <c r="Z53" i="14"/>
  <c r="AB53" i="14"/>
  <c r="Z56" i="14"/>
  <c r="AB56" i="14"/>
  <c r="Z57" i="14"/>
  <c r="AB57" i="14"/>
  <c r="Z61" i="14"/>
  <c r="AB61" i="14"/>
  <c r="Z231" i="14"/>
  <c r="Z235" i="14"/>
  <c r="AB235" i="14" s="1"/>
  <c r="Z243" i="14"/>
  <c r="AB243" i="14" s="1"/>
  <c r="Z261" i="14"/>
  <c r="AB261" i="14" s="1"/>
  <c r="Z262" i="14"/>
  <c r="AB262" i="14"/>
  <c r="Z263" i="14"/>
  <c r="AB263" i="14" s="1"/>
  <c r="Z264" i="14"/>
  <c r="AB264" i="14"/>
  <c r="Z265" i="14"/>
  <c r="AB265" i="14"/>
  <c r="Z266" i="14"/>
  <c r="AB266" i="14" s="1"/>
  <c r="Z267" i="14"/>
  <c r="AB267" i="14"/>
  <c r="Z268" i="14"/>
  <c r="AB268" i="14"/>
  <c r="Z269" i="14"/>
  <c r="AB269" i="14" s="1"/>
  <c r="Z270" i="14"/>
  <c r="AB270" i="14"/>
  <c r="Z271" i="14"/>
  <c r="AB271" i="14"/>
  <c r="Z272" i="14"/>
  <c r="AB272" i="14" s="1"/>
  <c r="Z221" i="14"/>
  <c r="AB221" i="14"/>
  <c r="Z172" i="14"/>
  <c r="AB172" i="14"/>
  <c r="Z164" i="14"/>
  <c r="AB164" i="14" s="1"/>
  <c r="Z217" i="14"/>
  <c r="AB217" i="14"/>
  <c r="Z162" i="14"/>
  <c r="AB162" i="14"/>
  <c r="Z222" i="14"/>
  <c r="AB222" i="14" s="1"/>
  <c r="Z171" i="14"/>
  <c r="AB171" i="14"/>
  <c r="Z216" i="14"/>
  <c r="AB216" i="14"/>
  <c r="Z165" i="14"/>
  <c r="AB165" i="14" s="1"/>
  <c r="Z173" i="14"/>
  <c r="AB173" i="14"/>
  <c r="Z163" i="14"/>
  <c r="AB163" i="14"/>
  <c r="Z127" i="14"/>
  <c r="AB127" i="14" s="1"/>
  <c r="Z128" i="14"/>
  <c r="AB128" i="14"/>
  <c r="Z129" i="14"/>
  <c r="AB129" i="14" s="1"/>
  <c r="Z130" i="14"/>
  <c r="AB130" i="14" s="1"/>
  <c r="Z131" i="14"/>
  <c r="AB131" i="14" s="1"/>
  <c r="Z132" i="14"/>
  <c r="AB132" i="14"/>
  <c r="Z133" i="14"/>
  <c r="AB133" i="14" s="1"/>
  <c r="Z134" i="14"/>
  <c r="AB134" i="14"/>
  <c r="Z135" i="14"/>
  <c r="AB135" i="14"/>
  <c r="Z136" i="14"/>
  <c r="AB136" i="14" s="1"/>
  <c r="Z137" i="14"/>
  <c r="AB137" i="14"/>
  <c r="Z138" i="14"/>
  <c r="AB138" i="14" s="1"/>
  <c r="Z139" i="14"/>
  <c r="AB139" i="14" s="1"/>
  <c r="Z140" i="14"/>
  <c r="AB140" i="14" s="1"/>
  <c r="Z141" i="14"/>
  <c r="AB141" i="14"/>
  <c r="Z142" i="14"/>
  <c r="AB142" i="14" s="1"/>
  <c r="Z143" i="14"/>
  <c r="AB143" i="14"/>
  <c r="Z144" i="14"/>
  <c r="AB144" i="14" s="1"/>
  <c r="Z145" i="14"/>
  <c r="AB145" i="14" s="1"/>
  <c r="Z146" i="14"/>
  <c r="AB146" i="14"/>
  <c r="Z147" i="14"/>
  <c r="AB147" i="14" s="1"/>
  <c r="Z148" i="14"/>
  <c r="AB148" i="14" s="1"/>
  <c r="Z149" i="14"/>
  <c r="AB149" i="14" s="1"/>
  <c r="Z150" i="14"/>
  <c r="AB150" i="14"/>
  <c r="Z151" i="14"/>
  <c r="AB151" i="14" s="1"/>
  <c r="Z152" i="14"/>
  <c r="AB152" i="14"/>
  <c r="Z153" i="14"/>
  <c r="AB153" i="14"/>
  <c r="Z154" i="14"/>
  <c r="AB154" i="14" s="1"/>
  <c r="Z155" i="14"/>
  <c r="AB155" i="14"/>
  <c r="Z156" i="14"/>
  <c r="AB156" i="14" s="1"/>
  <c r="Z157" i="14"/>
  <c r="AB157" i="14" s="1"/>
  <c r="Z158" i="14"/>
  <c r="AB158" i="14" s="1"/>
  <c r="Z159" i="14"/>
  <c r="AB159" i="14"/>
  <c r="Z160" i="14"/>
  <c r="AB160" i="14" s="1"/>
  <c r="Z166" i="14"/>
  <c r="AB166" i="14"/>
  <c r="Z170" i="14"/>
  <c r="AB170" i="14"/>
  <c r="Z220" i="14"/>
  <c r="AB220" i="14" s="1"/>
  <c r="Z181" i="14"/>
  <c r="AB181" i="14"/>
  <c r="Z182" i="14"/>
  <c r="Z183" i="14"/>
  <c r="AB183" i="14" s="1"/>
  <c r="Z184" i="14"/>
  <c r="AB184" i="14" s="1"/>
  <c r="Z185" i="14"/>
  <c r="AB185" i="14"/>
  <c r="Z186" i="14"/>
  <c r="AB186" i="14" s="1"/>
  <c r="Z187" i="14"/>
  <c r="AB187" i="14"/>
  <c r="Z188" i="14"/>
  <c r="AB188" i="14"/>
  <c r="Z189" i="14"/>
  <c r="AB189" i="14" s="1"/>
  <c r="Z190" i="14"/>
  <c r="AB190" i="14"/>
  <c r="Z191" i="14"/>
  <c r="AB191" i="14" s="1"/>
  <c r="Z192" i="14"/>
  <c r="AB192" i="14" s="1"/>
  <c r="Z193" i="14"/>
  <c r="AB193" i="14" s="1"/>
  <c r="Z194" i="14"/>
  <c r="AB194" i="14"/>
  <c r="Z195" i="14"/>
  <c r="AB195" i="14" s="1"/>
  <c r="Z196" i="14"/>
  <c r="AB196" i="14"/>
  <c r="Z197" i="14"/>
  <c r="AB197" i="14" s="1"/>
  <c r="Z198" i="14"/>
  <c r="AB198" i="14" s="1"/>
  <c r="Z199" i="14"/>
  <c r="AB199" i="14"/>
  <c r="Z200" i="14"/>
  <c r="AB200" i="14" s="1"/>
  <c r="Z201" i="14"/>
  <c r="AB201" i="14"/>
  <c r="Z202" i="14"/>
  <c r="AB202" i="14"/>
  <c r="Z203" i="14"/>
  <c r="AB203" i="14" s="1"/>
  <c r="Z204" i="14"/>
  <c r="AB204" i="14"/>
  <c r="Z205" i="14"/>
  <c r="AB205" i="14"/>
  <c r="Z206" i="14"/>
  <c r="AB206" i="14" s="1"/>
  <c r="Z207" i="14"/>
  <c r="AB207" i="14"/>
  <c r="Z208" i="14"/>
  <c r="AB208" i="14"/>
  <c r="Z209" i="14"/>
  <c r="AB209" i="14" s="1"/>
  <c r="Z210" i="14"/>
  <c r="AB210" i="14"/>
  <c r="Z211" i="14"/>
  <c r="AB211" i="14"/>
  <c r="Z212" i="14"/>
  <c r="AB212" i="14" s="1"/>
  <c r="Z213" i="14"/>
  <c r="AB213" i="14"/>
  <c r="Z214" i="14"/>
  <c r="AB214" i="14"/>
  <c r="Z215" i="14"/>
  <c r="AB215" i="14" s="1"/>
  <c r="Z218" i="14"/>
  <c r="AB218" i="14"/>
  <c r="Z219" i="14"/>
  <c r="AB219" i="14"/>
  <c r="Z223" i="14"/>
  <c r="AB223" i="14" s="1"/>
  <c r="AB101" i="14"/>
  <c r="Z329" i="14"/>
  <c r="Z330" i="14"/>
  <c r="AB330" i="14"/>
  <c r="Z331" i="14"/>
  <c r="AB331" i="14" s="1"/>
  <c r="Z332" i="14"/>
  <c r="AB332" i="14"/>
  <c r="Z333" i="14"/>
  <c r="AB333" i="14"/>
  <c r="Z334" i="14"/>
  <c r="AB334" i="14" s="1"/>
  <c r="Z335" i="14"/>
  <c r="AB335" i="14"/>
  <c r="Z336" i="14"/>
  <c r="AB336" i="14"/>
  <c r="Z337" i="14"/>
  <c r="AB337" i="14" s="1"/>
  <c r="Z338" i="14"/>
  <c r="AB338" i="14"/>
  <c r="Z339" i="14"/>
  <c r="AB339" i="14"/>
  <c r="Z340" i="14"/>
  <c r="AB340" i="14" s="1"/>
  <c r="Z341" i="14"/>
  <c r="AB341" i="14"/>
  <c r="Z342" i="14"/>
  <c r="AB342" i="14"/>
  <c r="Z343" i="14"/>
  <c r="AB343" i="14" s="1"/>
  <c r="Z344" i="14"/>
  <c r="AB344" i="14"/>
  <c r="Z345" i="14"/>
  <c r="AB345" i="14"/>
  <c r="Z346" i="14"/>
  <c r="AB346" i="14" s="1"/>
  <c r="Z347" i="14"/>
  <c r="AB347" i="14"/>
  <c r="Z348" i="14"/>
  <c r="AB348" i="14"/>
  <c r="Z349" i="14"/>
  <c r="AB349" i="14" s="1"/>
  <c r="Z350" i="14"/>
  <c r="AB350" i="14"/>
  <c r="Z351" i="14"/>
  <c r="AB351" i="14"/>
  <c r="Z352" i="14"/>
  <c r="AB352" i="14" s="1"/>
  <c r="Z353" i="14"/>
  <c r="AB353" i="14"/>
  <c r="Z354" i="14"/>
  <c r="AB354" i="14"/>
  <c r="Z355" i="14"/>
  <c r="AB355" i="14" s="1"/>
  <c r="Z356" i="14"/>
  <c r="AB356" i="14"/>
  <c r="Z357" i="14"/>
  <c r="AB357" i="14"/>
  <c r="Z358" i="14"/>
  <c r="AB358" i="14" s="1"/>
  <c r="Z359" i="14"/>
  <c r="AB359" i="14"/>
  <c r="Z360" i="14"/>
  <c r="AB360" i="14"/>
  <c r="Z361" i="14"/>
  <c r="AB361" i="14" s="1"/>
  <c r="Z362" i="14"/>
  <c r="AB362" i="14"/>
  <c r="Z423" i="14"/>
  <c r="Z425" i="14"/>
  <c r="AB425" i="14"/>
  <c r="Z426" i="14"/>
  <c r="AB426" i="14" s="1"/>
  <c r="Z427" i="14"/>
  <c r="AB427" i="14"/>
  <c r="Z428" i="14"/>
  <c r="AB428" i="14"/>
  <c r="Z429" i="14"/>
  <c r="AB429" i="14" s="1"/>
  <c r="Z430" i="14"/>
  <c r="AB430" i="14"/>
  <c r="Z431" i="14"/>
  <c r="AB431" i="14"/>
  <c r="Z432" i="14"/>
  <c r="AB432" i="14" s="1"/>
  <c r="Z435" i="14"/>
  <c r="AB435" i="14"/>
  <c r="Z437" i="14"/>
  <c r="AB437" i="14" s="1"/>
  <c r="Z439" i="14"/>
  <c r="AB439" i="14"/>
  <c r="Z280" i="14"/>
  <c r="Z284" i="14"/>
  <c r="AB284" i="14"/>
  <c r="Z293" i="14"/>
  <c r="AB293" i="14"/>
  <c r="Z294" i="14"/>
  <c r="AB294" i="14" s="1"/>
  <c r="Z296" i="14"/>
  <c r="AB296" i="14"/>
  <c r="Z300" i="14"/>
  <c r="AB300" i="14"/>
  <c r="Z301" i="14"/>
  <c r="AB301" i="14" s="1"/>
  <c r="Z306" i="14"/>
  <c r="AB306" i="14"/>
  <c r="Z307" i="14"/>
  <c r="AB307" i="14"/>
  <c r="Z308" i="14"/>
  <c r="AB308" i="14" s="1"/>
  <c r="Z309" i="14"/>
  <c r="AB309" i="14"/>
  <c r="Z310" i="14"/>
  <c r="AB310" i="14"/>
  <c r="Z311" i="14"/>
  <c r="AB311" i="14" s="1"/>
  <c r="Z312" i="14"/>
  <c r="AB312" i="14"/>
  <c r="Z313" i="14"/>
  <c r="AB313" i="14"/>
  <c r="Z314" i="14"/>
  <c r="AB314" i="14" s="1"/>
  <c r="Z315" i="14"/>
  <c r="AB315" i="14"/>
  <c r="Z316" i="14"/>
  <c r="AB316" i="14"/>
  <c r="Z544" i="14"/>
  <c r="Z396" i="14"/>
  <c r="AB396" i="14" s="1"/>
  <c r="Z477" i="14"/>
  <c r="AB423" i="14"/>
  <c r="AB280" i="14"/>
  <c r="AK36" i="5"/>
  <c r="B36" i="5" s="1"/>
  <c r="B36" i="8"/>
  <c r="B35" i="8"/>
  <c r="AK35" i="5"/>
  <c r="B35" i="5" s="1"/>
  <c r="AB231" i="14"/>
  <c r="AB477" i="14"/>
  <c r="B37" i="8"/>
  <c r="AK43" i="5"/>
  <c r="B43" i="5" s="1"/>
  <c r="AK39" i="5"/>
  <c r="B39" i="5" s="1"/>
  <c r="B39" i="8"/>
  <c r="C40" i="5"/>
  <c r="B49" i="8"/>
  <c r="AK49" i="5"/>
  <c r="B49" i="5" s="1"/>
  <c r="AK46" i="5"/>
  <c r="B46" i="5" s="1"/>
  <c r="B51" i="8"/>
  <c r="AK51" i="5"/>
  <c r="B51" i="5" s="1"/>
  <c r="C51" i="5" s="1"/>
  <c r="AK48" i="5"/>
  <c r="B48" i="5" s="1"/>
  <c r="C48" i="5" s="1"/>
  <c r="B48" i="8"/>
  <c r="B50" i="8"/>
  <c r="AK47" i="5"/>
  <c r="B47" i="5" s="1"/>
  <c r="B47" i="8"/>
  <c r="AK61" i="5"/>
  <c r="F11" i="5" s="1"/>
  <c r="F11" i="8"/>
  <c r="B52" i="8"/>
  <c r="AK60" i="5"/>
  <c r="F10" i="5" s="1"/>
  <c r="F10" i="8"/>
  <c r="AK59" i="5"/>
  <c r="F9" i="5" s="1"/>
  <c r="G9" i="5" s="1"/>
  <c r="F9" i="8"/>
  <c r="AK63" i="5"/>
  <c r="F13" i="5" s="1"/>
  <c r="G13" i="5" s="1"/>
  <c r="F13" i="8"/>
  <c r="F14" i="8"/>
  <c r="B55" i="8"/>
  <c r="AK72" i="5"/>
  <c r="F22" i="5" s="1"/>
  <c r="F22" i="8"/>
  <c r="AK71" i="5"/>
  <c r="F21" i="5" s="1"/>
  <c r="F21" i="8"/>
  <c r="AK75" i="5"/>
  <c r="F25" i="5" s="1"/>
  <c r="F25" i="8"/>
  <c r="F26" i="8"/>
  <c r="F24" i="8"/>
  <c r="F29" i="8"/>
  <c r="G24" i="5"/>
  <c r="F34" i="8"/>
  <c r="AK83" i="5"/>
  <c r="F33" i="5" s="1"/>
  <c r="G33" i="5" s="1"/>
  <c r="F33" i="8"/>
  <c r="F32" i="8"/>
  <c r="AK87" i="5"/>
  <c r="F37" i="5" s="1"/>
  <c r="G37" i="5" s="1"/>
  <c r="F37" i="8"/>
  <c r="F36" i="8"/>
  <c r="F32" i="5"/>
  <c r="G32" i="5" s="1"/>
  <c r="F38" i="8"/>
  <c r="F34" i="5"/>
  <c r="F42" i="8"/>
  <c r="AK91" i="5"/>
  <c r="F41" i="5" s="1"/>
  <c r="AK95" i="5"/>
  <c r="F45" i="5" s="1"/>
  <c r="F45" i="8"/>
  <c r="AK97" i="5"/>
  <c r="F47" i="5" s="1"/>
  <c r="G47" i="5" s="1"/>
  <c r="F46" i="8"/>
  <c r="F48" i="8"/>
  <c r="AK99" i="5"/>
  <c r="F49" i="5" s="1"/>
  <c r="F49" i="8"/>
  <c r="AK100" i="5"/>
  <c r="F50" i="5" s="1"/>
  <c r="G50" i="5" s="1"/>
  <c r="F50" i="8"/>
  <c r="AK103" i="5"/>
  <c r="F53" i="5" s="1"/>
  <c r="G53" i="5" s="1"/>
  <c r="AK109" i="5"/>
  <c r="J9" i="5" s="1"/>
  <c r="AK107" i="5"/>
  <c r="F57" i="5" s="1"/>
  <c r="G57" i="5" s="1"/>
  <c r="F57" i="8"/>
  <c r="AK108" i="5"/>
  <c r="F58" i="5" s="1"/>
  <c r="F58" i="8"/>
  <c r="J10" i="8"/>
  <c r="AK112" i="5"/>
  <c r="J12" i="5" s="1"/>
  <c r="K12" i="5" s="1"/>
  <c r="J12" i="8"/>
  <c r="AK111" i="5"/>
  <c r="J11" i="5" s="1"/>
  <c r="J11" i="8"/>
  <c r="K10" i="5"/>
  <c r="AK120" i="5"/>
  <c r="J20" i="5" s="1"/>
  <c r="J20" i="8"/>
  <c r="AK119" i="5"/>
  <c r="J19" i="5" s="1"/>
  <c r="K19" i="5" s="1"/>
  <c r="J19" i="8"/>
  <c r="AK123" i="5"/>
  <c r="J23" i="5" s="1"/>
  <c r="J23" i="8"/>
  <c r="AK122" i="5"/>
  <c r="J22" i="5" s="1"/>
  <c r="K22" i="5" s="1"/>
  <c r="AK125" i="5"/>
  <c r="J25" i="5" s="1"/>
  <c r="AK131" i="5"/>
  <c r="J31" i="5" s="1"/>
  <c r="J31" i="8"/>
  <c r="AK132" i="5"/>
  <c r="J32" i="5" s="1"/>
  <c r="K32" i="5" s="1"/>
  <c r="J32" i="8"/>
  <c r="AM12" i="5"/>
  <c r="AK12" i="5"/>
  <c r="B12" i="5" s="1"/>
  <c r="C12" i="5" s="1"/>
  <c r="AK18" i="5"/>
  <c r="B18" i="5" s="1"/>
  <c r="B22" i="5"/>
  <c r="C22" i="5" s="1"/>
  <c r="AK24" i="5"/>
  <c r="B24" i="5" s="1"/>
  <c r="AK26" i="5"/>
  <c r="B26" i="5" s="1"/>
  <c r="C26" i="5" s="1"/>
  <c r="AK28" i="5"/>
  <c r="B28" i="5" s="1"/>
  <c r="B30" i="5"/>
  <c r="C30" i="5" s="1"/>
  <c r="AG15" i="5"/>
  <c r="AG16" i="5" s="1"/>
  <c r="AG17" i="5" s="1"/>
  <c r="AG18" i="5" s="1"/>
  <c r="AG19" i="5" s="1"/>
  <c r="AM13" i="5"/>
  <c r="J46" i="8"/>
  <c r="J43" i="8"/>
  <c r="J47" i="8"/>
  <c r="AK147" i="5"/>
  <c r="J47" i="5" s="1"/>
  <c r="K47" i="5" s="1"/>
  <c r="AK143" i="5"/>
  <c r="J43" i="5" s="1"/>
  <c r="AM14" i="5"/>
  <c r="AK148" i="5"/>
  <c r="J48" i="5" s="1"/>
  <c r="K48" i="5" s="1"/>
  <c r="K46" i="5"/>
  <c r="J34" i="8"/>
  <c r="J35" i="8"/>
  <c r="AK135" i="5"/>
  <c r="J35" i="5" s="1"/>
  <c r="K35" i="5" s="1"/>
  <c r="AK144" i="5"/>
  <c r="J44" i="5" s="1"/>
  <c r="K44" i="5" s="1"/>
  <c r="J44" i="8"/>
  <c r="AK136" i="5"/>
  <c r="J36" i="5" s="1"/>
  <c r="K36" i="5" s="1"/>
  <c r="AM15" i="5"/>
  <c r="AM16" i="5"/>
  <c r="AJ17" i="5"/>
  <c r="AM17" i="5" s="1"/>
  <c r="O8" i="13"/>
  <c r="P8" i="13"/>
  <c r="Q8" i="13"/>
  <c r="Q9" i="13"/>
  <c r="Q34" i="13" s="1"/>
  <c r="P10" i="12"/>
  <c r="F22" i="12" l="1"/>
  <c r="AK140" i="5"/>
  <c r="J40" i="5" s="1"/>
  <c r="K40" i="5" s="1"/>
  <c r="AK115" i="5"/>
  <c r="J15" i="5" s="1"/>
  <c r="K15" i="5" s="1"/>
  <c r="J27" i="8"/>
  <c r="J39" i="8"/>
  <c r="F17" i="8"/>
  <c r="AK45" i="5"/>
  <c r="B45" i="5" s="1"/>
  <c r="C45" i="5" s="1"/>
  <c r="F30" i="8"/>
  <c r="F18" i="8"/>
  <c r="AK32" i="5"/>
  <c r="B32" i="5" s="1"/>
  <c r="AK126" i="5"/>
  <c r="J26" i="5" s="1"/>
  <c r="K26" i="5" s="1"/>
  <c r="B40" i="8"/>
  <c r="AK44" i="5"/>
  <c r="B44" i="5" s="1"/>
  <c r="C44" i="5" s="1"/>
  <c r="B30" i="8"/>
  <c r="AK102" i="5"/>
  <c r="F52" i="5" s="1"/>
  <c r="G52" i="5" s="1"/>
  <c r="J28" i="8"/>
  <c r="AK20" i="5"/>
  <c r="B20" i="5" s="1"/>
  <c r="C20" i="5" s="1"/>
  <c r="J24" i="8"/>
  <c r="J16" i="8"/>
  <c r="F54" i="8"/>
  <c r="AK56" i="5"/>
  <c r="B56" i="5" s="1"/>
  <c r="C56" i="5" s="1"/>
  <c r="AK19" i="5"/>
  <c r="B19" i="5" s="1"/>
  <c r="C19" i="5" s="1"/>
  <c r="AK151" i="5"/>
  <c r="J51" i="5" s="1"/>
  <c r="K51" i="5" s="1"/>
  <c r="F43" i="8"/>
  <c r="B31" i="8"/>
  <c r="B21" i="8"/>
  <c r="F19" i="8"/>
  <c r="F31" i="8"/>
  <c r="C16" i="6"/>
  <c r="C41" i="6"/>
  <c r="C23" i="6"/>
  <c r="C44" i="6"/>
  <c r="K45" i="5"/>
  <c r="K21" i="5"/>
  <c r="G51" i="5"/>
  <c r="G15" i="5"/>
  <c r="L31" i="13"/>
  <c r="F27" i="12"/>
  <c r="F30" i="12" s="1"/>
  <c r="F33" i="12" s="1"/>
  <c r="F20" i="12"/>
  <c r="J14" i="13"/>
  <c r="M28" i="13"/>
  <c r="H36" i="13"/>
  <c r="D37" i="12"/>
  <c r="D41" i="12" s="1"/>
  <c r="D19" i="12"/>
  <c r="D23" i="12" s="1"/>
  <c r="I47" i="13"/>
  <c r="F28" i="13"/>
  <c r="F14" i="13"/>
  <c r="I34" i="13"/>
  <c r="I36" i="13"/>
  <c r="J41" i="8"/>
  <c r="AK129" i="5"/>
  <c r="J29" i="5" s="1"/>
  <c r="K29" i="5" s="1"/>
  <c r="J42" i="8"/>
  <c r="AK106" i="5"/>
  <c r="F56" i="5" s="1"/>
  <c r="G56" i="5" s="1"/>
  <c r="AK130" i="5"/>
  <c r="J30" i="5" s="1"/>
  <c r="K30" i="5" s="1"/>
  <c r="AK133" i="5"/>
  <c r="J33" i="5" s="1"/>
  <c r="K33" i="5" s="1"/>
  <c r="J21" i="8"/>
  <c r="J45" i="8"/>
  <c r="J52" i="8"/>
  <c r="J50" i="8"/>
  <c r="AK137" i="5"/>
  <c r="J37" i="5" s="1"/>
  <c r="K37" i="5" s="1"/>
  <c r="AK41" i="5"/>
  <c r="B41" i="5" s="1"/>
  <c r="C41" i="5" s="1"/>
  <c r="B29" i="8"/>
  <c r="AK53" i="5"/>
  <c r="B53" i="5" s="1"/>
  <c r="C53" i="5" s="1"/>
  <c r="AK89" i="5"/>
  <c r="F39" i="5" s="1"/>
  <c r="G39" i="5" s="1"/>
  <c r="AK149" i="5"/>
  <c r="J49" i="5" s="1"/>
  <c r="K49" i="5" s="1"/>
  <c r="F15" i="8"/>
  <c r="AK17" i="5"/>
  <c r="B17" i="5" s="1"/>
  <c r="C17" i="5" s="1"/>
  <c r="Z371" i="14"/>
  <c r="Z373" i="14" s="1"/>
  <c r="Z566" i="14"/>
  <c r="Z568" i="14" s="1"/>
  <c r="AB544" i="14"/>
  <c r="AB75" i="14"/>
  <c r="Z122" i="14"/>
  <c r="L176" i="14"/>
  <c r="AB329" i="14"/>
  <c r="E34" i="13"/>
  <c r="E14" i="13"/>
  <c r="W7" i="5"/>
  <c r="AA7" i="5"/>
  <c r="K7" i="5"/>
  <c r="S7" i="5"/>
  <c r="O7" i="5"/>
  <c r="G7" i="5"/>
  <c r="AE7" i="5"/>
  <c r="S14" i="5"/>
  <c r="W9" i="5"/>
  <c r="W15" i="5"/>
  <c r="W25" i="5"/>
  <c r="W34" i="5"/>
  <c r="W43" i="5"/>
  <c r="W52" i="5"/>
  <c r="AA12" i="5"/>
  <c r="AA23" i="5"/>
  <c r="AA32" i="5"/>
  <c r="AA41" i="5"/>
  <c r="AA50" i="5"/>
  <c r="G23" i="5"/>
  <c r="G35" i="5"/>
  <c r="C29" i="5"/>
  <c r="O30" i="5"/>
  <c r="O39" i="5"/>
  <c r="O48" i="5"/>
  <c r="O57" i="5"/>
  <c r="S19" i="5"/>
  <c r="S28" i="5"/>
  <c r="S37" i="5"/>
  <c r="S46" i="5"/>
  <c r="S55" i="5"/>
  <c r="AE18" i="5"/>
  <c r="AE27" i="5"/>
  <c r="AE36" i="5"/>
  <c r="AE45" i="5"/>
  <c r="AE54" i="5"/>
  <c r="C52" i="5"/>
  <c r="G48" i="5"/>
  <c r="K25" i="5"/>
  <c r="O10" i="5"/>
  <c r="O27" i="5"/>
  <c r="O36" i="5"/>
  <c r="O45" i="5"/>
  <c r="O54" i="5"/>
  <c r="S15" i="5"/>
  <c r="S25" i="5"/>
  <c r="S34" i="5"/>
  <c r="S43" i="5"/>
  <c r="S52" i="5"/>
  <c r="W12" i="5"/>
  <c r="AE13" i="5"/>
  <c r="AE24" i="5"/>
  <c r="AE33" i="5"/>
  <c r="AE42" i="5"/>
  <c r="AE51" i="5"/>
  <c r="G43" i="5"/>
  <c r="G46" i="5"/>
  <c r="G55" i="5"/>
  <c r="K16" i="5"/>
  <c r="K18" i="5"/>
  <c r="AA16" i="5"/>
  <c r="O18" i="5"/>
  <c r="W19" i="5"/>
  <c r="W28" i="5"/>
  <c r="W37" i="5"/>
  <c r="W46" i="5"/>
  <c r="W55" i="5"/>
  <c r="AA17" i="5"/>
  <c r="AA26" i="5"/>
  <c r="AA35" i="5"/>
  <c r="AA44" i="5"/>
  <c r="AA53" i="5"/>
  <c r="W13" i="5"/>
  <c r="G11" i="5"/>
  <c r="G31" i="5"/>
  <c r="G30" i="5"/>
  <c r="K13" i="5"/>
  <c r="K42" i="5"/>
  <c r="K34" i="5"/>
  <c r="K54" i="5"/>
  <c r="O13" i="5"/>
  <c r="O22" i="5"/>
  <c r="Z226" i="14"/>
  <c r="AB182" i="14"/>
  <c r="E36" i="13"/>
  <c r="W20" i="5"/>
  <c r="S56" i="5"/>
  <c r="S45" i="5"/>
  <c r="S29" i="5"/>
  <c r="S18" i="5"/>
  <c r="O49" i="5"/>
  <c r="O38" i="5"/>
  <c r="O21" i="5"/>
  <c r="K57" i="5"/>
  <c r="C11" i="5"/>
  <c r="K43" i="5"/>
  <c r="K24" i="5"/>
  <c r="G41" i="5"/>
  <c r="G14" i="5"/>
  <c r="AE52" i="5"/>
  <c r="AE43" i="5"/>
  <c r="AE34" i="5"/>
  <c r="AE25" i="5"/>
  <c r="AE15" i="5"/>
  <c r="AA49" i="5"/>
  <c r="AA40" i="5"/>
  <c r="AA31" i="5"/>
  <c r="AA22" i="5"/>
  <c r="AA11" i="5"/>
  <c r="W51" i="5"/>
  <c r="W42" i="5"/>
  <c r="W33" i="5"/>
  <c r="W24" i="5"/>
  <c r="S53" i="5"/>
  <c r="S44" i="5"/>
  <c r="S35" i="5"/>
  <c r="S26" i="5"/>
  <c r="S17" i="5"/>
  <c r="O55" i="5"/>
  <c r="O46" i="5"/>
  <c r="O37" i="5"/>
  <c r="O28" i="5"/>
  <c r="O11" i="5"/>
  <c r="C21" i="5"/>
  <c r="AA9" i="5"/>
  <c r="W14" i="5"/>
  <c r="E28" i="13"/>
  <c r="Q376" i="14"/>
  <c r="S376" i="14"/>
  <c r="W376" i="14"/>
  <c r="U376" i="14"/>
  <c r="G418" i="14"/>
  <c r="U389" i="14"/>
  <c r="Q389" i="14"/>
  <c r="W389" i="14"/>
  <c r="S389" i="14"/>
  <c r="K461" i="14"/>
  <c r="J424" i="14"/>
  <c r="C28" i="5"/>
  <c r="C18" i="5"/>
  <c r="K23" i="5"/>
  <c r="G58" i="5"/>
  <c r="K9" i="5"/>
  <c r="G22" i="5"/>
  <c r="C49" i="5"/>
  <c r="C39" i="5"/>
  <c r="C35" i="5"/>
  <c r="AE56" i="5"/>
  <c r="AE47" i="5"/>
  <c r="AE38" i="5"/>
  <c r="AE29" i="5"/>
  <c r="AE20" i="5"/>
  <c r="AA58" i="5"/>
  <c r="AA48" i="5"/>
  <c r="AA39" i="5"/>
  <c r="AA30" i="5"/>
  <c r="AA21" i="5"/>
  <c r="AA10" i="5"/>
  <c r="W50" i="5"/>
  <c r="W41" i="5"/>
  <c r="W32" i="5"/>
  <c r="W23" i="5"/>
  <c r="S57" i="5"/>
  <c r="S48" i="5"/>
  <c r="S39" i="5"/>
  <c r="S30" i="5"/>
  <c r="S21" i="5"/>
  <c r="S10" i="5"/>
  <c r="O50" i="5"/>
  <c r="O41" i="5"/>
  <c r="O32" i="5"/>
  <c r="O23" i="5"/>
  <c r="K56" i="5"/>
  <c r="AE9" i="5"/>
  <c r="AA14" i="5"/>
  <c r="C24" i="5"/>
  <c r="K11" i="5"/>
  <c r="G45" i="5"/>
  <c r="G34" i="5"/>
  <c r="G26" i="5"/>
  <c r="G25" i="5"/>
  <c r="G17" i="5"/>
  <c r="C47" i="5"/>
  <c r="C43" i="5"/>
  <c r="AE50" i="5"/>
  <c r="AE41" i="5"/>
  <c r="AE32" i="5"/>
  <c r="AE23" i="5"/>
  <c r="AE12" i="5"/>
  <c r="AA51" i="5"/>
  <c r="AA42" i="5"/>
  <c r="AA33" i="5"/>
  <c r="AA24" i="5"/>
  <c r="AA13" i="5"/>
  <c r="W53" i="5"/>
  <c r="W44" i="5"/>
  <c r="W35" i="5"/>
  <c r="W26" i="5"/>
  <c r="W17" i="5"/>
  <c r="W11" i="5"/>
  <c r="S51" i="5"/>
  <c r="S42" i="5"/>
  <c r="S33" i="5"/>
  <c r="S24" i="5"/>
  <c r="S13" i="5"/>
  <c r="O53" i="5"/>
  <c r="O44" i="5"/>
  <c r="O35" i="5"/>
  <c r="O26" i="5"/>
  <c r="O15" i="5"/>
  <c r="O9" i="5"/>
  <c r="S9" i="5"/>
  <c r="O14" i="5"/>
  <c r="G461" i="14"/>
  <c r="C32" i="5"/>
  <c r="K31" i="5"/>
  <c r="K20" i="5"/>
  <c r="G49" i="5"/>
  <c r="G38" i="5"/>
  <c r="G21" i="5"/>
  <c r="C55" i="5"/>
  <c r="G10" i="5"/>
  <c r="C46" i="5"/>
  <c r="C36" i="5"/>
  <c r="J36" i="13"/>
  <c r="J31" i="13"/>
  <c r="AE49" i="5"/>
  <c r="AE40" i="5"/>
  <c r="AE31" i="5"/>
  <c r="AE22" i="5"/>
  <c r="AE11" i="5"/>
  <c r="AA55" i="5"/>
  <c r="AA46" i="5"/>
  <c r="AA37" i="5"/>
  <c r="AA28" i="5"/>
  <c r="AA19" i="5"/>
  <c r="W57" i="5"/>
  <c r="W48" i="5"/>
  <c r="W39" i="5"/>
  <c r="W30" i="5"/>
  <c r="W21" i="5"/>
  <c r="W10" i="5"/>
  <c r="S50" i="5"/>
  <c r="S41" i="5"/>
  <c r="S32" i="5"/>
  <c r="S23" i="5"/>
  <c r="S12" i="5"/>
  <c r="O52" i="5"/>
  <c r="O43" i="5"/>
  <c r="O34" i="5"/>
  <c r="O25" i="5"/>
  <c r="O20" i="5"/>
  <c r="K58" i="5"/>
  <c r="K53" i="5"/>
  <c r="S16" i="5"/>
  <c r="C25" i="5"/>
  <c r="Z123" i="14"/>
  <c r="H34" i="13"/>
  <c r="G64" i="14"/>
  <c r="Z65" i="14" s="1"/>
  <c r="Z50" i="14"/>
  <c r="AB50" i="14" s="1"/>
  <c r="Z227" i="14"/>
  <c r="Z228" i="14" s="1"/>
  <c r="N226" i="14"/>
  <c r="Z278" i="14"/>
  <c r="J324" i="14"/>
  <c r="U391" i="14"/>
  <c r="S391" i="14"/>
  <c r="W391" i="14"/>
  <c r="E635" i="14"/>
  <c r="G620" i="14"/>
  <c r="G635" i="14" s="1"/>
  <c r="K36" i="13"/>
  <c r="C23" i="5"/>
  <c r="L371" i="14"/>
  <c r="Z378" i="14"/>
  <c r="J418" i="14"/>
  <c r="Z419" i="14" s="1"/>
  <c r="M461" i="14"/>
  <c r="J433" i="14"/>
  <c r="Z433" i="14" s="1"/>
  <c r="AB433" i="14" s="1"/>
  <c r="K535" i="14"/>
  <c r="J513" i="14"/>
  <c r="Z513" i="14" s="1"/>
  <c r="K20" i="13"/>
  <c r="K27" i="13" s="1"/>
  <c r="K28" i="13" s="1"/>
  <c r="Z593" i="14"/>
  <c r="AB570" i="14"/>
  <c r="Z616" i="14"/>
  <c r="Z618" i="14" s="1"/>
  <c r="AB597" i="14"/>
  <c r="E22" i="12"/>
  <c r="E27" i="12"/>
  <c r="E29" i="12" s="1"/>
  <c r="H35" i="13"/>
  <c r="H37" i="13" s="1"/>
  <c r="U390" i="14"/>
  <c r="Q390" i="14"/>
  <c r="S390" i="14"/>
  <c r="W390" i="14"/>
  <c r="G19" i="13"/>
  <c r="G27" i="13" s="1"/>
  <c r="G28" i="13" s="1"/>
  <c r="G616" i="14"/>
  <c r="J478" i="14"/>
  <c r="K500" i="14"/>
  <c r="J535" i="14"/>
  <c r="Z536" i="14" s="1"/>
  <c r="Z635" i="14"/>
  <c r="AB620" i="14"/>
  <c r="C31" i="5"/>
  <c r="C15" i="5"/>
  <c r="J35" i="13"/>
  <c r="J37" i="13" s="1"/>
  <c r="E64" i="14"/>
  <c r="Z126" i="14"/>
  <c r="G176" i="14"/>
  <c r="Z177" i="14" s="1"/>
  <c r="Z232" i="14"/>
  <c r="J274" i="14"/>
  <c r="Z275" i="14" s="1"/>
  <c r="E500" i="14"/>
  <c r="I20" i="13"/>
  <c r="N500" i="14"/>
  <c r="G535" i="14"/>
  <c r="Q20" i="13"/>
  <c r="Q27" i="13" s="1"/>
  <c r="Q28" i="13" s="1"/>
  <c r="O20" i="13"/>
  <c r="N20" i="13"/>
  <c r="N27" i="13" s="1"/>
  <c r="P20" i="13"/>
  <c r="G324" i="14"/>
  <c r="E324" i="14"/>
  <c r="G500" i="14"/>
  <c r="AJ16" i="8"/>
  <c r="AM15" i="8"/>
  <c r="Z652" i="14"/>
  <c r="L324" i="14"/>
  <c r="W388" i="14"/>
  <c r="U375" i="14"/>
  <c r="G542" i="14"/>
  <c r="G566" i="14" s="1"/>
  <c r="G37" i="12"/>
  <c r="G41" i="12" s="1"/>
  <c r="AM13" i="8"/>
  <c r="C41" i="12"/>
  <c r="S379" i="14"/>
  <c r="U379" i="14"/>
  <c r="W382" i="14"/>
  <c r="U382" i="14"/>
  <c r="P19" i="13"/>
  <c r="O19" i="13"/>
  <c r="O27" i="13" s="1"/>
  <c r="M535" i="14"/>
  <c r="E593" i="14"/>
  <c r="G571" i="14"/>
  <c r="G593" i="14" s="1"/>
  <c r="E616" i="14"/>
  <c r="AM11" i="8"/>
  <c r="U661" i="14"/>
  <c r="Q661" i="14"/>
  <c r="Q13" i="13"/>
  <c r="Q22" i="13"/>
  <c r="O22" i="13"/>
  <c r="Z594" i="14"/>
  <c r="Z595" i="14" s="1"/>
  <c r="P22" i="13"/>
  <c r="N22" i="13"/>
  <c r="S500" i="14"/>
  <c r="S385" i="14"/>
  <c r="S384" i="14"/>
  <c r="Q379" i="14"/>
  <c r="E371" i="14"/>
  <c r="AM12" i="8"/>
  <c r="C27" i="5"/>
  <c r="Z661" i="14"/>
  <c r="AB654" i="14"/>
  <c r="Z14" i="8"/>
  <c r="Z20" i="8"/>
  <c r="Z26" i="8"/>
  <c r="C50" i="6"/>
  <c r="C15" i="6"/>
  <c r="C39" i="6"/>
  <c r="C22" i="6"/>
  <c r="C40" i="6"/>
  <c r="C25" i="6"/>
  <c r="C45" i="6"/>
  <c r="C12" i="6"/>
  <c r="C28" i="6"/>
  <c r="C46" i="6"/>
  <c r="C29" i="6"/>
  <c r="C49" i="6"/>
  <c r="C14" i="6"/>
  <c r="C32" i="6"/>
  <c r="C48" i="6"/>
  <c r="Z663" i="14"/>
  <c r="S661" i="14"/>
  <c r="E650" i="14"/>
  <c r="G639" i="14"/>
  <c r="G650" i="14" s="1"/>
  <c r="AK356" i="5"/>
  <c r="Z56" i="5" s="1"/>
  <c r="AA56" i="5" s="1"/>
  <c r="Z56" i="8"/>
  <c r="AK206" i="5"/>
  <c r="N56" i="5" s="1"/>
  <c r="O56" i="5" s="1"/>
  <c r="N56" i="8"/>
  <c r="Z50" i="8"/>
  <c r="Z53" i="8"/>
  <c r="C20" i="6"/>
  <c r="C37" i="6"/>
  <c r="Z636" i="14"/>
  <c r="M14" i="13"/>
  <c r="G666" i="14"/>
  <c r="G668" i="14" s="1"/>
  <c r="E668" i="14"/>
  <c r="AD57" i="8"/>
  <c r="AK407" i="5"/>
  <c r="AD57" i="5" s="1"/>
  <c r="AE57" i="5" s="1"/>
  <c r="D25" i="7"/>
  <c r="L28" i="12"/>
  <c r="K50" i="5"/>
  <c r="C9" i="9"/>
  <c r="C11" i="9" s="1"/>
  <c r="C7" i="8"/>
  <c r="S7" i="8" s="1"/>
  <c r="O9" i="13"/>
  <c r="O28" i="13" s="1"/>
  <c r="P29" i="13"/>
  <c r="C27" i="6"/>
  <c r="C38" i="6"/>
  <c r="C24" i="6"/>
  <c r="C10" i="6"/>
  <c r="C47" i="6"/>
  <c r="C33" i="6"/>
  <c r="C17" i="6"/>
  <c r="C37" i="5"/>
  <c r="C13" i="6"/>
  <c r="C11" i="6"/>
  <c r="C21" i="6"/>
  <c r="K52" i="5"/>
  <c r="P9" i="13"/>
  <c r="C16" i="11"/>
  <c r="C20" i="11"/>
  <c r="H47" i="13"/>
  <c r="K31" i="13"/>
  <c r="J47" i="13"/>
  <c r="G31" i="13"/>
  <c r="L36" i="13"/>
  <c r="I31" i="13"/>
  <c r="I37" i="12"/>
  <c r="I41" i="12" s="1"/>
  <c r="I27" i="12"/>
  <c r="I29" i="12" s="1"/>
  <c r="J48" i="13"/>
  <c r="K14" i="13"/>
  <c r="C28" i="13"/>
  <c r="C31" i="13" s="1"/>
  <c r="D20" i="12"/>
  <c r="E19" i="12"/>
  <c r="E23" i="12" s="1"/>
  <c r="L28" i="13"/>
  <c r="G27" i="12"/>
  <c r="G29" i="12" s="1"/>
  <c r="L14" i="13"/>
  <c r="F41" i="12"/>
  <c r="Q29" i="13"/>
  <c r="Q36" i="13" s="1"/>
  <c r="H31" i="13"/>
  <c r="K48" i="13"/>
  <c r="H48" i="13"/>
  <c r="K35" i="13"/>
  <c r="K37" i="13" s="1"/>
  <c r="G34" i="13"/>
  <c r="D22" i="12"/>
  <c r="L34" i="13"/>
  <c r="F35" i="13"/>
  <c r="F37" i="13" s="1"/>
  <c r="K47" i="13"/>
  <c r="M34" i="13"/>
  <c r="I35" i="13"/>
  <c r="I37" i="13" s="1"/>
  <c r="C20" i="12"/>
  <c r="D27" i="12"/>
  <c r="D28" i="12" s="1"/>
  <c r="E37" i="12"/>
  <c r="E41" i="12" s="1"/>
  <c r="C35" i="13"/>
  <c r="E35" i="13"/>
  <c r="E37" i="13" s="1"/>
  <c r="L35" i="13"/>
  <c r="L37" i="13" s="1"/>
  <c r="G36" i="13"/>
  <c r="C22" i="12"/>
  <c r="C14" i="13"/>
  <c r="E20" i="12"/>
  <c r="M35" i="13"/>
  <c r="M37" i="13" s="1"/>
  <c r="D35" i="13"/>
  <c r="D14" i="13"/>
  <c r="D34" i="13"/>
  <c r="D48" i="13"/>
  <c r="D36" i="13"/>
  <c r="D47" i="13"/>
  <c r="D28" i="13"/>
  <c r="D31" i="13" s="1"/>
  <c r="K20" i="12"/>
  <c r="K19" i="12"/>
  <c r="K23" i="12" s="1"/>
  <c r="J37" i="12"/>
  <c r="J41" i="12" s="1"/>
  <c r="J19" i="12"/>
  <c r="J23" i="12" s="1"/>
  <c r="J22" i="12"/>
  <c r="J12" i="12"/>
  <c r="K22" i="12"/>
  <c r="J27" i="12"/>
  <c r="J20" i="12"/>
  <c r="H19" i="12"/>
  <c r="H23" i="12" s="1"/>
  <c r="H22" i="12"/>
  <c r="H37" i="12"/>
  <c r="H41" i="12" s="1"/>
  <c r="H20" i="12"/>
  <c r="H27" i="12"/>
  <c r="B48" i="13"/>
  <c r="B28" i="13"/>
  <c r="B31" i="13" s="1"/>
  <c r="B34" i="13"/>
  <c r="B47" i="13"/>
  <c r="B36" i="13"/>
  <c r="B35" i="13"/>
  <c r="B14" i="13"/>
  <c r="I48" i="13"/>
  <c r="C19" i="12"/>
  <c r="C23" i="12" s="1"/>
  <c r="I20" i="12"/>
  <c r="I22" i="12"/>
  <c r="C47" i="13"/>
  <c r="C34" i="13"/>
  <c r="I19" i="12"/>
  <c r="I23" i="12" s="1"/>
  <c r="G35" i="13"/>
  <c r="G37" i="13" s="1"/>
  <c r="C27" i="12"/>
  <c r="C48" i="13"/>
  <c r="L47" i="13"/>
  <c r="G47" i="13"/>
  <c r="G48" i="13"/>
  <c r="F47" i="13"/>
  <c r="AJ18" i="5"/>
  <c r="Q14" i="13"/>
  <c r="Q35" i="13"/>
  <c r="P11" i="12"/>
  <c r="P37" i="12" s="1"/>
  <c r="P41" i="12" s="1"/>
  <c r="E48" i="13"/>
  <c r="E47" i="13"/>
  <c r="F31" i="13"/>
  <c r="F36" i="13"/>
  <c r="F48" i="13"/>
  <c r="E31" i="13"/>
  <c r="K12" i="12"/>
  <c r="N29" i="13"/>
  <c r="L24" i="12"/>
  <c r="L29" i="12" s="1"/>
  <c r="M24" i="12"/>
  <c r="C42" i="6"/>
  <c r="C30" i="6"/>
  <c r="C18" i="6"/>
  <c r="C43" i="6"/>
  <c r="C31" i="6"/>
  <c r="C19" i="6"/>
  <c r="G36" i="5"/>
  <c r="C50" i="5"/>
  <c r="G27" i="5"/>
  <c r="G44" i="5"/>
  <c r="K17" i="5"/>
  <c r="G19" i="5"/>
  <c r="C33" i="5"/>
  <c r="C11" i="11"/>
  <c r="C12" i="11" s="1"/>
  <c r="C17" i="11"/>
  <c r="P7" i="2"/>
  <c r="M27" i="12"/>
  <c r="M28" i="12" s="1"/>
  <c r="M12" i="12"/>
  <c r="M37" i="12"/>
  <c r="N27" i="12"/>
  <c r="N12" i="12"/>
  <c r="N37" i="12"/>
  <c r="N41" i="12" s="1"/>
  <c r="O37" i="12"/>
  <c r="O41" i="12" s="1"/>
  <c r="O27" i="12"/>
  <c r="L12" i="12"/>
  <c r="K27" i="12"/>
  <c r="L37" i="12"/>
  <c r="N9" i="13"/>
  <c r="N35" i="13" s="1"/>
  <c r="AK114" i="5"/>
  <c r="J14" i="5" s="1"/>
  <c r="K14" i="5" s="1"/>
  <c r="J14" i="8"/>
  <c r="AK90" i="5"/>
  <c r="F40" i="5" s="1"/>
  <c r="G40" i="5" s="1"/>
  <c r="F40" i="8"/>
  <c r="AK78" i="5"/>
  <c r="F28" i="5" s="1"/>
  <c r="G28" i="5" s="1"/>
  <c r="F28" i="8"/>
  <c r="AK70" i="5"/>
  <c r="F20" i="5" s="1"/>
  <c r="G20" i="5" s="1"/>
  <c r="F20" i="8"/>
  <c r="AK66" i="5"/>
  <c r="F16" i="5" s="1"/>
  <c r="G16" i="5" s="1"/>
  <c r="F16" i="8"/>
  <c r="AK62" i="5"/>
  <c r="F12" i="5" s="1"/>
  <c r="G12" i="5" s="1"/>
  <c r="F12" i="8"/>
  <c r="AK54" i="5"/>
  <c r="B54" i="5" s="1"/>
  <c r="C54" i="5" s="1"/>
  <c r="B54" i="8"/>
  <c r="AK42" i="5"/>
  <c r="B42" i="5" s="1"/>
  <c r="C42" i="5" s="1"/>
  <c r="B42" i="8"/>
  <c r="B38" i="8"/>
  <c r="AK38" i="5"/>
  <c r="B38" i="5" s="1"/>
  <c r="C38" i="5" s="1"/>
  <c r="AK34" i="5"/>
  <c r="B34" i="5" s="1"/>
  <c r="C34" i="5" s="1"/>
  <c r="B34" i="8"/>
  <c r="B14" i="8"/>
  <c r="AK14" i="5"/>
  <c r="B14" i="5" s="1"/>
  <c r="C14" i="5" s="1"/>
  <c r="B10" i="8"/>
  <c r="AK10" i="5"/>
  <c r="B10" i="5" s="1"/>
  <c r="C10" i="5" s="1"/>
  <c r="AK138" i="5"/>
  <c r="J38" i="5" s="1"/>
  <c r="K38" i="5" s="1"/>
  <c r="J18" i="8"/>
  <c r="F44" i="8"/>
  <c r="AK58" i="5"/>
  <c r="B58" i="5" s="1"/>
  <c r="C58" i="5" s="1"/>
  <c r="AK9" i="5"/>
  <c r="B9" i="5" s="1"/>
  <c r="J17" i="8"/>
  <c r="F55" i="8"/>
  <c r="F35" i="8"/>
  <c r="F23" i="8"/>
  <c r="AK57" i="5"/>
  <c r="B57" i="5" s="1"/>
  <c r="C57" i="5" s="1"/>
  <c r="B33" i="8"/>
  <c r="J13" i="8"/>
  <c r="F51" i="8"/>
  <c r="F27" i="8"/>
  <c r="AK13" i="5"/>
  <c r="B13" i="5" s="1"/>
  <c r="C13" i="5" s="1"/>
  <c r="F34" i="12" l="1"/>
  <c r="F29" i="12"/>
  <c r="F28" i="12"/>
  <c r="I49" i="13"/>
  <c r="F38" i="13"/>
  <c r="F40" i="13" s="1"/>
  <c r="J38" i="13"/>
  <c r="J40" i="13" s="1"/>
  <c r="I38" i="13"/>
  <c r="I40" i="13" s="1"/>
  <c r="H38" i="13"/>
  <c r="H40" i="13" s="1"/>
  <c r="L38" i="13"/>
  <c r="L40" i="13" s="1"/>
  <c r="O35" i="13"/>
  <c r="O34" i="13"/>
  <c r="L30" i="12"/>
  <c r="L33" i="12" s="1"/>
  <c r="U566" i="14"/>
  <c r="Q566" i="14"/>
  <c r="W566" i="14"/>
  <c r="L566" i="14"/>
  <c r="S566" i="14"/>
  <c r="N566" i="14"/>
  <c r="U593" i="14"/>
  <c r="L593" i="14"/>
  <c r="Q593" i="14"/>
  <c r="W593" i="14"/>
  <c r="S593" i="14"/>
  <c r="N593" i="14"/>
  <c r="Q650" i="14"/>
  <c r="L650" i="14"/>
  <c r="N650" i="14"/>
  <c r="S650" i="14"/>
  <c r="U650" i="14"/>
  <c r="W650" i="14"/>
  <c r="AB126" i="14"/>
  <c r="Z176" i="14"/>
  <c r="H20" i="13"/>
  <c r="N461" i="14"/>
  <c r="E38" i="13"/>
  <c r="E40" i="13" s="1"/>
  <c r="E28" i="12"/>
  <c r="AJ17" i="8"/>
  <c r="AM16" i="8"/>
  <c r="Z537" i="14"/>
  <c r="S635" i="14"/>
  <c r="U635" i="14"/>
  <c r="Q635" i="14"/>
  <c r="L635" i="14"/>
  <c r="N635" i="14"/>
  <c r="W635" i="14"/>
  <c r="AB278" i="14"/>
  <c r="Z324" i="14"/>
  <c r="Q461" i="14"/>
  <c r="U461" i="14"/>
  <c r="S461" i="14"/>
  <c r="W461" i="14"/>
  <c r="J461" i="14"/>
  <c r="Z462" i="14" s="1"/>
  <c r="Z424" i="14"/>
  <c r="W418" i="14"/>
  <c r="Q418" i="14"/>
  <c r="S418" i="14"/>
  <c r="U418" i="14"/>
  <c r="N418" i="14"/>
  <c r="J20" i="13"/>
  <c r="N535" i="14"/>
  <c r="G20" i="12"/>
  <c r="F19" i="12"/>
  <c r="F23" i="12" s="1"/>
  <c r="I19" i="13"/>
  <c r="I27" i="13" s="1"/>
  <c r="I28" i="13" s="1"/>
  <c r="L500" i="14"/>
  <c r="Z535" i="14"/>
  <c r="AB513" i="14"/>
  <c r="AB378" i="14"/>
  <c r="Z418" i="14"/>
  <c r="AA419" i="14" s="1"/>
  <c r="Z124" i="14"/>
  <c r="L461" i="14"/>
  <c r="H19" i="13"/>
  <c r="H27" i="13" s="1"/>
  <c r="H28" i="13" s="1"/>
  <c r="Z64" i="14"/>
  <c r="Q500" i="14"/>
  <c r="U500" i="14"/>
  <c r="W500" i="14"/>
  <c r="J19" i="13"/>
  <c r="J27" i="13" s="1"/>
  <c r="J28" i="13" s="1"/>
  <c r="G19" i="12"/>
  <c r="G23" i="12" s="1"/>
  <c r="L535" i="14"/>
  <c r="B49" i="13"/>
  <c r="Z637" i="14"/>
  <c r="Z478" i="14"/>
  <c r="J500" i="14"/>
  <c r="Z501" i="14" s="1"/>
  <c r="O14" i="13"/>
  <c r="B38" i="13"/>
  <c r="B40" i="13" s="1"/>
  <c r="E30" i="12"/>
  <c r="E33" i="12" s="1"/>
  <c r="P27" i="13"/>
  <c r="P28" i="13" s="1"/>
  <c r="AB232" i="14"/>
  <c r="Z274" i="14"/>
  <c r="Z276" i="14" s="1"/>
  <c r="L64" i="14"/>
  <c r="N371" i="14"/>
  <c r="N324" i="14"/>
  <c r="Z325" i="14"/>
  <c r="Z326" i="14" s="1"/>
  <c r="S535" i="14"/>
  <c r="W535" i="14"/>
  <c r="U535" i="14"/>
  <c r="Q535" i="14"/>
  <c r="Z178" i="14"/>
  <c r="L418" i="14"/>
  <c r="Z66" i="14"/>
  <c r="P14" i="13"/>
  <c r="P35" i="13"/>
  <c r="P34" i="13"/>
  <c r="H49" i="13"/>
  <c r="K49" i="13"/>
  <c r="J49" i="13"/>
  <c r="G38" i="13"/>
  <c r="G40" i="13" s="1"/>
  <c r="E49" i="13"/>
  <c r="Q38" i="13"/>
  <c r="Q40" i="13" s="1"/>
  <c r="D30" i="12"/>
  <c r="D29" i="12"/>
  <c r="F49" i="13"/>
  <c r="C38" i="13"/>
  <c r="C40" i="13" s="1"/>
  <c r="I30" i="12"/>
  <c r="I28" i="12"/>
  <c r="Q47" i="13"/>
  <c r="P11" i="2"/>
  <c r="G28" i="12"/>
  <c r="G30" i="12"/>
  <c r="K38" i="13"/>
  <c r="K40" i="13" s="1"/>
  <c r="Q31" i="13"/>
  <c r="C29" i="12"/>
  <c r="C30" i="12"/>
  <c r="C28" i="12"/>
  <c r="C49" i="13"/>
  <c r="D49" i="13"/>
  <c r="D38" i="13"/>
  <c r="D40" i="13" s="1"/>
  <c r="H28" i="12"/>
  <c r="H29" i="12"/>
  <c r="H30" i="12"/>
  <c r="J30" i="12"/>
  <c r="J28" i="12"/>
  <c r="J29" i="12"/>
  <c r="G49" i="13"/>
  <c r="AM18" i="5"/>
  <c r="AJ19" i="5"/>
  <c r="C51" i="6"/>
  <c r="D17" i="7" s="1"/>
  <c r="D18" i="7" s="1"/>
  <c r="AD59" i="8"/>
  <c r="C18" i="11"/>
  <c r="M41" i="12"/>
  <c r="P27" i="12"/>
  <c r="P12" i="12"/>
  <c r="P14" i="2"/>
  <c r="L41" i="12"/>
  <c r="N47" i="13"/>
  <c r="Q37" i="13"/>
  <c r="P10" i="2"/>
  <c r="C21" i="11"/>
  <c r="P8" i="2"/>
  <c r="P9" i="2"/>
  <c r="O28" i="12"/>
  <c r="O29" i="12"/>
  <c r="N34" i="13"/>
  <c r="N28" i="13"/>
  <c r="N14" i="13"/>
  <c r="K28" i="12"/>
  <c r="N36" i="13"/>
  <c r="N28" i="12"/>
  <c r="N29" i="12"/>
  <c r="K24" i="12"/>
  <c r="K41" i="12" s="1"/>
  <c r="M29" i="12"/>
  <c r="M30" i="12" s="1"/>
  <c r="M33" i="12" s="1"/>
  <c r="N31" i="13"/>
  <c r="P36" i="13"/>
  <c r="P31" i="13"/>
  <c r="P47" i="13"/>
  <c r="AD59" i="5"/>
  <c r="C9" i="5"/>
  <c r="AE59" i="5" s="1"/>
  <c r="W56" i="8"/>
  <c r="W58" i="8"/>
  <c r="W57" i="8"/>
  <c r="AA55" i="8"/>
  <c r="AA54" i="8"/>
  <c r="W52" i="8"/>
  <c r="W49" i="8"/>
  <c r="W53" i="8"/>
  <c r="W51" i="8"/>
  <c r="W50" i="8"/>
  <c r="W48" i="8"/>
  <c r="S47" i="8"/>
  <c r="O45" i="8"/>
  <c r="AE43" i="8"/>
  <c r="AA46" i="8"/>
  <c r="W42" i="8"/>
  <c r="S38" i="8"/>
  <c r="O37" i="8"/>
  <c r="AE35" i="8"/>
  <c r="W41" i="8"/>
  <c r="S40" i="8"/>
  <c r="O39" i="8"/>
  <c r="S34" i="8"/>
  <c r="W32" i="8"/>
  <c r="AE31" i="8"/>
  <c r="AE30" i="8"/>
  <c r="AA29" i="8"/>
  <c r="AE28" i="8"/>
  <c r="AE27" i="8"/>
  <c r="W26" i="8"/>
  <c r="AE25" i="8"/>
  <c r="AE24" i="8"/>
  <c r="W23" i="8"/>
  <c r="AE22" i="8"/>
  <c r="AE21" i="8"/>
  <c r="AE20" i="8"/>
  <c r="AE19" i="8"/>
  <c r="AE18" i="8"/>
  <c r="W17" i="8"/>
  <c r="AE16" i="8"/>
  <c r="AE15" i="8"/>
  <c r="AE12" i="8"/>
  <c r="AE7" i="8"/>
  <c r="AA7" i="8"/>
  <c r="O14" i="8"/>
  <c r="O13" i="8"/>
  <c r="O11" i="8"/>
  <c r="O10" i="8"/>
  <c r="C41" i="8"/>
  <c r="C52" i="8"/>
  <c r="G16" i="8"/>
  <c r="G28" i="8"/>
  <c r="G35" i="8"/>
  <c r="K12" i="8"/>
  <c r="K17" i="8"/>
  <c r="K28" i="8"/>
  <c r="S56" i="8"/>
  <c r="S58" i="8"/>
  <c r="S57" i="8"/>
  <c r="W55" i="8"/>
  <c r="W54" i="8"/>
  <c r="S52" i="8"/>
  <c r="S49" i="8"/>
  <c r="S53" i="8"/>
  <c r="S51" i="8"/>
  <c r="S50" i="8"/>
  <c r="S48" i="8"/>
  <c r="O47" i="8"/>
  <c r="AE44" i="8"/>
  <c r="AA43" i="8"/>
  <c r="W46" i="8"/>
  <c r="S42" i="8"/>
  <c r="O38" i="8"/>
  <c r="AE36" i="8"/>
  <c r="AA35" i="8"/>
  <c r="S41" i="8"/>
  <c r="O40" i="8"/>
  <c r="S35" i="8"/>
  <c r="AE33" i="8"/>
  <c r="O32" i="8"/>
  <c r="AA31" i="8"/>
  <c r="W30" i="8"/>
  <c r="S29" i="8"/>
  <c r="W28" i="8"/>
  <c r="AA27" i="8"/>
  <c r="O26" i="8"/>
  <c r="W25" i="8"/>
  <c r="W24" i="8"/>
  <c r="O23" i="8"/>
  <c r="AA22" i="8"/>
  <c r="AA21" i="8"/>
  <c r="AA20" i="8"/>
  <c r="W19" i="8"/>
  <c r="W18" i="8"/>
  <c r="O17" i="8"/>
  <c r="W16" i="8"/>
  <c r="AA15" i="8"/>
  <c r="AA12" i="8"/>
  <c r="W7" i="8"/>
  <c r="K7" i="8"/>
  <c r="C14" i="8"/>
  <c r="C13" i="8"/>
  <c r="C11" i="8"/>
  <c r="C10" i="8"/>
  <c r="C33" i="8"/>
  <c r="C35" i="8"/>
  <c r="C38" i="8"/>
  <c r="C49" i="8"/>
  <c r="C58" i="8"/>
  <c r="G15" i="8"/>
  <c r="C54" i="8"/>
  <c r="G44" i="8"/>
  <c r="G48" i="8"/>
  <c r="G50" i="8"/>
  <c r="G55" i="8"/>
  <c r="G57" i="8"/>
  <c r="K10" i="8"/>
  <c r="G58" i="8"/>
  <c r="K22" i="8"/>
  <c r="O56" i="8"/>
  <c r="O58" i="8"/>
  <c r="O57" i="8"/>
  <c r="S55" i="8"/>
  <c r="S54" i="8"/>
  <c r="O52" i="8"/>
  <c r="O49" i="8"/>
  <c r="O53" i="8"/>
  <c r="O51" i="8"/>
  <c r="O50" i="8"/>
  <c r="O48" i="8"/>
  <c r="AE45" i="8"/>
  <c r="AA44" i="8"/>
  <c r="W43" i="8"/>
  <c r="S46" i="8"/>
  <c r="O42" i="8"/>
  <c r="AE37" i="8"/>
  <c r="AA36" i="8"/>
  <c r="W35" i="8"/>
  <c r="O41" i="8"/>
  <c r="AE39" i="8"/>
  <c r="AE34" i="8"/>
  <c r="AA33" i="8"/>
  <c r="C32" i="8"/>
  <c r="S31" i="8"/>
  <c r="O30" i="8"/>
  <c r="C29" i="8"/>
  <c r="O28" i="8"/>
  <c r="S27" i="8"/>
  <c r="C26" i="8"/>
  <c r="O25" i="8"/>
  <c r="O24" i="8"/>
  <c r="C23" i="8"/>
  <c r="S22" i="8"/>
  <c r="W21" i="8"/>
  <c r="S20" i="8"/>
  <c r="O19" i="8"/>
  <c r="O18" i="8"/>
  <c r="C17" i="8"/>
  <c r="O16" i="8"/>
  <c r="W15" i="8"/>
  <c r="W12" i="8"/>
  <c r="O7" i="8"/>
  <c r="AE14" i="8"/>
  <c r="AE13" i="8"/>
  <c r="AE11" i="8"/>
  <c r="AE10" i="8"/>
  <c r="AE9" i="8"/>
  <c r="C34" i="8"/>
  <c r="C37" i="8"/>
  <c r="C43" i="8"/>
  <c r="C44" i="8"/>
  <c r="C47" i="8"/>
  <c r="C46" i="8"/>
  <c r="C53" i="8"/>
  <c r="G13" i="8"/>
  <c r="G9" i="8"/>
  <c r="G17" i="8"/>
  <c r="G23" i="8"/>
  <c r="G20" i="8"/>
  <c r="G25" i="8"/>
  <c r="G27" i="8"/>
  <c r="G31" i="8"/>
  <c r="G34" i="8"/>
  <c r="G37" i="8"/>
  <c r="G39" i="8"/>
  <c r="G42" i="8"/>
  <c r="G41" i="8"/>
  <c r="G45" i="8"/>
  <c r="G47" i="8"/>
  <c r="G51" i="8"/>
  <c r="G53" i="8"/>
  <c r="G54" i="8"/>
  <c r="K13" i="8"/>
  <c r="K16" i="8"/>
  <c r="K18" i="8"/>
  <c r="K21" i="8"/>
  <c r="K23" i="8"/>
  <c r="K56" i="8"/>
  <c r="K58" i="8"/>
  <c r="K57" i="8"/>
  <c r="O55" i="8"/>
  <c r="K54" i="8"/>
  <c r="K52" i="8"/>
  <c r="K49" i="8"/>
  <c r="K53" i="8"/>
  <c r="K51" i="8"/>
  <c r="K50" i="8"/>
  <c r="AE47" i="8"/>
  <c r="AA45" i="8"/>
  <c r="W44" i="8"/>
  <c r="S43" i="8"/>
  <c r="O46" i="8"/>
  <c r="AE38" i="8"/>
  <c r="AA37" i="8"/>
  <c r="W36" i="8"/>
  <c r="O35" i="8"/>
  <c r="AE40" i="8"/>
  <c r="AA39" i="8"/>
  <c r="AA34" i="8"/>
  <c r="W33" i="8"/>
  <c r="AE32" i="8"/>
  <c r="W31" i="8"/>
  <c r="C30" i="8"/>
  <c r="AE29" i="8"/>
  <c r="C28" i="8"/>
  <c r="W27" i="8"/>
  <c r="AE26" i="8"/>
  <c r="C25" i="8"/>
  <c r="C24" i="8"/>
  <c r="AE23" i="8"/>
  <c r="O22" i="8"/>
  <c r="S21" i="8"/>
  <c r="W20" i="8"/>
  <c r="C19" i="8"/>
  <c r="C18" i="8"/>
  <c r="AE17" i="8"/>
  <c r="C16" i="8"/>
  <c r="S15" i="8"/>
  <c r="S12" i="8"/>
  <c r="G7" i="8"/>
  <c r="AA14" i="8"/>
  <c r="AA13" i="8"/>
  <c r="AA11" i="8"/>
  <c r="AA10" i="8"/>
  <c r="W9" i="8"/>
  <c r="C42" i="8"/>
  <c r="C39" i="8"/>
  <c r="C45" i="8"/>
  <c r="C51" i="8"/>
  <c r="C50" i="8"/>
  <c r="G14" i="8"/>
  <c r="C56" i="8"/>
  <c r="G19" i="8"/>
  <c r="G29" i="8"/>
  <c r="G38" i="8"/>
  <c r="G40" i="8"/>
  <c r="G46" i="8"/>
  <c r="K15" i="8"/>
  <c r="K26" i="8"/>
  <c r="AE56" i="8"/>
  <c r="AE58" i="8"/>
  <c r="AE57" i="8"/>
  <c r="O54" i="8"/>
  <c r="K55" i="8"/>
  <c r="AE52" i="8"/>
  <c r="AE49" i="8"/>
  <c r="AE53" i="8"/>
  <c r="AE51" i="8"/>
  <c r="AE50" i="8"/>
  <c r="AE48" i="8"/>
  <c r="AA47" i="8"/>
  <c r="W45" i="8"/>
  <c r="S44" i="8"/>
  <c r="O43" i="8"/>
  <c r="AE42" i="8"/>
  <c r="AA38" i="8"/>
  <c r="W37" i="8"/>
  <c r="S36" i="8"/>
  <c r="AE41" i="8"/>
  <c r="AA40" i="8"/>
  <c r="W39" i="8"/>
  <c r="W34" i="8"/>
  <c r="O33" i="8"/>
  <c r="AA32" i="8"/>
  <c r="O31" i="8"/>
  <c r="AA30" i="8"/>
  <c r="W29" i="8"/>
  <c r="AA28" i="8"/>
  <c r="O27" i="8"/>
  <c r="AA26" i="8"/>
  <c r="AA25" i="8"/>
  <c r="AA24" i="8"/>
  <c r="AA23" i="8"/>
  <c r="C22" i="8"/>
  <c r="O21" i="8"/>
  <c r="O20" i="8"/>
  <c r="AA19" i="8"/>
  <c r="AA18" i="8"/>
  <c r="AA17" i="8"/>
  <c r="AA16" i="8"/>
  <c r="O15" i="8"/>
  <c r="O12" i="8"/>
  <c r="AA9" i="8"/>
  <c r="W14" i="8"/>
  <c r="W13" i="8"/>
  <c r="W11" i="8"/>
  <c r="W10" i="8"/>
  <c r="O9" i="8"/>
  <c r="C36" i="8"/>
  <c r="G11" i="8"/>
  <c r="C57" i="8"/>
  <c r="C55" i="8"/>
  <c r="G49" i="8"/>
  <c r="K9" i="8"/>
  <c r="G56" i="8"/>
  <c r="AA56" i="8"/>
  <c r="AA58" i="8"/>
  <c r="AA57" i="8"/>
  <c r="AE55" i="8"/>
  <c r="AE54" i="8"/>
  <c r="AA52" i="8"/>
  <c r="AA49" i="8"/>
  <c r="AA53" i="8"/>
  <c r="AA51" i="8"/>
  <c r="AA50" i="8"/>
  <c r="AA48" i="8"/>
  <c r="W47" i="8"/>
  <c r="S45" i="8"/>
  <c r="O44" i="8"/>
  <c r="AE46" i="8"/>
  <c r="AA42" i="8"/>
  <c r="W38" i="8"/>
  <c r="S37" i="8"/>
  <c r="O36" i="8"/>
  <c r="AA41" i="8"/>
  <c r="W40" i="8"/>
  <c r="S39" i="8"/>
  <c r="O34" i="8"/>
  <c r="S33" i="8"/>
  <c r="S32" i="8"/>
  <c r="C31" i="8"/>
  <c r="S30" i="8"/>
  <c r="O29" i="8"/>
  <c r="S28" i="8"/>
  <c r="C27" i="8"/>
  <c r="S26" i="8"/>
  <c r="S25" i="8"/>
  <c r="S24" i="8"/>
  <c r="S23" i="8"/>
  <c r="W22" i="8"/>
  <c r="C21" i="8"/>
  <c r="C20" i="8"/>
  <c r="S19" i="8"/>
  <c r="S18" i="8"/>
  <c r="S17" i="8"/>
  <c r="S16" i="8"/>
  <c r="C15" i="8"/>
  <c r="C12" i="8"/>
  <c r="S9" i="8"/>
  <c r="S14" i="8"/>
  <c r="S13" i="8"/>
  <c r="S11" i="8"/>
  <c r="S10" i="8"/>
  <c r="C9" i="8"/>
  <c r="C40" i="8"/>
  <c r="G10" i="8"/>
  <c r="C48" i="8"/>
  <c r="G12" i="8"/>
  <c r="G18" i="8"/>
  <c r="G22" i="8"/>
  <c r="G21" i="8"/>
  <c r="G26" i="8"/>
  <c r="G24" i="8"/>
  <c r="G30" i="8"/>
  <c r="G33" i="8"/>
  <c r="G32" i="8"/>
  <c r="G36" i="8"/>
  <c r="G43" i="8"/>
  <c r="G52" i="8"/>
  <c r="K11" i="8"/>
  <c r="K14" i="8"/>
  <c r="K20" i="8"/>
  <c r="K19" i="8"/>
  <c r="K24" i="8"/>
  <c r="K29" i="8"/>
  <c r="K37" i="8"/>
  <c r="K39" i="8"/>
  <c r="K27" i="8"/>
  <c r="K31" i="8"/>
  <c r="K45" i="8"/>
  <c r="K36" i="8"/>
  <c r="K34" i="8"/>
  <c r="K25" i="8"/>
  <c r="K30" i="8"/>
  <c r="K46" i="8"/>
  <c r="K48" i="8"/>
  <c r="K35" i="8"/>
  <c r="K38" i="8"/>
  <c r="K33" i="8"/>
  <c r="K32" i="8"/>
  <c r="K43" i="8"/>
  <c r="K47" i="8"/>
  <c r="K44" i="8"/>
  <c r="K42" i="8"/>
  <c r="K41" i="8"/>
  <c r="K40" i="8"/>
  <c r="C47" i="9"/>
  <c r="C35" i="9"/>
  <c r="C23" i="9"/>
  <c r="C12" i="9"/>
  <c r="C40" i="9"/>
  <c r="C28" i="9"/>
  <c r="C16" i="9"/>
  <c r="C45" i="9"/>
  <c r="C33" i="9"/>
  <c r="C21" i="9"/>
  <c r="C50" i="9"/>
  <c r="C38" i="9"/>
  <c r="C26" i="9"/>
  <c r="C43" i="9"/>
  <c r="C31" i="9"/>
  <c r="C19" i="9"/>
  <c r="C48" i="9"/>
  <c r="C36" i="9"/>
  <c r="C24" i="9"/>
  <c r="C13" i="9"/>
  <c r="C10" i="9"/>
  <c r="C41" i="9"/>
  <c r="C29" i="9"/>
  <c r="C17" i="9"/>
  <c r="C46" i="9"/>
  <c r="C34" i="9"/>
  <c r="C22" i="9"/>
  <c r="C39" i="9"/>
  <c r="C27" i="9"/>
  <c r="C15" i="9"/>
  <c r="C44" i="9"/>
  <c r="C32" i="9"/>
  <c r="C20" i="9"/>
  <c r="C49" i="9"/>
  <c r="C37" i="9"/>
  <c r="C25" i="9"/>
  <c r="C14" i="9"/>
  <c r="C42" i="9"/>
  <c r="C30" i="9"/>
  <c r="C18" i="9"/>
  <c r="E34" i="12" l="1"/>
  <c r="P12" i="2"/>
  <c r="L34" i="12"/>
  <c r="AB424" i="14"/>
  <c r="Z461" i="14"/>
  <c r="Z463" i="14" s="1"/>
  <c r="AJ18" i="8"/>
  <c r="AM17" i="8"/>
  <c r="Z500" i="14"/>
  <c r="AA501" i="14" s="1"/>
  <c r="AB478" i="14"/>
  <c r="Z420" i="14"/>
  <c r="D26" i="7"/>
  <c r="I34" i="12"/>
  <c r="I33" i="12"/>
  <c r="G34" i="12"/>
  <c r="G33" i="12"/>
  <c r="D34" i="12"/>
  <c r="D33" i="12"/>
  <c r="J33" i="12"/>
  <c r="J34" i="12"/>
  <c r="H33" i="12"/>
  <c r="H34" i="12"/>
  <c r="C33" i="12"/>
  <c r="C34" i="12"/>
  <c r="AM19" i="5"/>
  <c r="AJ20" i="5"/>
  <c r="P29" i="12"/>
  <c r="P28" i="12"/>
  <c r="O29" i="13"/>
  <c r="O47" i="13" s="1"/>
  <c r="N38" i="13"/>
  <c r="N40" i="13" s="1"/>
  <c r="N30" i="12"/>
  <c r="N33" i="12" s="1"/>
  <c r="C23" i="11"/>
  <c r="C28" i="11" s="1"/>
  <c r="M34" i="12"/>
  <c r="N37" i="13"/>
  <c r="K29" i="12"/>
  <c r="K30" i="12" s="1"/>
  <c r="O30" i="12"/>
  <c r="M29" i="13"/>
  <c r="P13" i="2"/>
  <c r="P37" i="13"/>
  <c r="P38" i="13"/>
  <c r="P40" i="13" s="1"/>
  <c r="P6" i="2"/>
  <c r="D22" i="7"/>
  <c r="D23" i="7" s="1"/>
  <c r="AH11" i="5"/>
  <c r="AE59" i="8"/>
  <c r="C51" i="9"/>
  <c r="AM18" i="8" l="1"/>
  <c r="AJ19" i="8"/>
  <c r="Z502" i="14"/>
  <c r="D29" i="7"/>
  <c r="D37" i="7" s="1"/>
  <c r="D27" i="10"/>
  <c r="B7" i="10" s="1"/>
  <c r="AM20" i="5"/>
  <c r="AJ21" i="5"/>
  <c r="O31" i="13"/>
  <c r="O36" i="13"/>
  <c r="O37" i="13" s="1"/>
  <c r="P30" i="12"/>
  <c r="P33" i="12" s="1"/>
  <c r="N34" i="12"/>
  <c r="O33" i="12"/>
  <c r="O34" i="12"/>
  <c r="K34" i="12"/>
  <c r="K33" i="12"/>
  <c r="M47" i="13"/>
  <c r="M36" i="13"/>
  <c r="M38" i="13" s="1"/>
  <c r="M40" i="13" s="1"/>
  <c r="M31" i="13"/>
  <c r="H13" i="9"/>
  <c r="F13" i="9"/>
  <c r="AH28" i="8"/>
  <c r="AH11" i="8"/>
  <c r="AM19" i="8" l="1"/>
  <c r="AJ20" i="8"/>
  <c r="O38" i="13"/>
  <c r="O40" i="13" s="1"/>
  <c r="AM21" i="5"/>
  <c r="AJ22" i="5"/>
  <c r="P34" i="12"/>
  <c r="AM20" i="8" l="1"/>
  <c r="AJ21" i="8"/>
  <c r="AM22" i="5"/>
  <c r="AJ23" i="5"/>
  <c r="AM21" i="8" l="1"/>
  <c r="AJ22" i="8"/>
  <c r="AM23" i="5"/>
  <c r="AJ24" i="5"/>
  <c r="AM22" i="8" l="1"/>
  <c r="AJ23" i="8"/>
  <c r="AM24" i="5"/>
  <c r="AJ25" i="5"/>
  <c r="AM23" i="8" l="1"/>
  <c r="AJ24" i="8"/>
  <c r="AM25" i="5"/>
  <c r="AJ26" i="5"/>
  <c r="AM24" i="8" l="1"/>
  <c r="AJ25" i="8"/>
  <c r="AM26" i="5"/>
  <c r="AJ27" i="5"/>
  <c r="AJ26" i="8" l="1"/>
  <c r="AM25" i="8"/>
  <c r="AM27" i="5"/>
  <c r="AJ28" i="5"/>
  <c r="AM26" i="8" l="1"/>
  <c r="AJ27" i="8"/>
  <c r="AM28" i="5"/>
  <c r="AJ29" i="5"/>
  <c r="AJ28" i="8" l="1"/>
  <c r="AM27" i="8"/>
  <c r="AM29" i="5"/>
  <c r="AJ30" i="5"/>
  <c r="AJ29" i="8" l="1"/>
  <c r="AM28" i="8"/>
  <c r="AM30" i="5"/>
  <c r="AJ31" i="5"/>
  <c r="AJ30" i="8" l="1"/>
  <c r="AM29" i="8"/>
  <c r="AM31" i="5"/>
  <c r="AJ32" i="5"/>
  <c r="AJ31" i="8" l="1"/>
  <c r="AM30" i="8"/>
  <c r="AM32" i="5"/>
  <c r="AJ33" i="5"/>
  <c r="AM31" i="8" l="1"/>
  <c r="AJ32" i="8"/>
  <c r="AM33" i="5"/>
  <c r="AM34" i="5" s="1"/>
  <c r="AM35" i="5" s="1"/>
  <c r="AM36" i="5" s="1"/>
  <c r="AM37" i="5" s="1"/>
  <c r="AM38" i="5" s="1"/>
  <c r="AM39" i="5" s="1"/>
  <c r="AM40" i="5" s="1"/>
  <c r="AM41" i="5" s="1"/>
  <c r="AM42" i="5" s="1"/>
  <c r="AM43" i="5" s="1"/>
  <c r="AM44" i="5" s="1"/>
  <c r="AM45" i="5" s="1"/>
  <c r="AM46" i="5" s="1"/>
  <c r="AM47" i="5" s="1"/>
  <c r="AM48" i="5" s="1"/>
  <c r="AM49" i="5" s="1"/>
  <c r="AM50" i="5" s="1"/>
  <c r="AM51" i="5" s="1"/>
  <c r="AM52" i="5" s="1"/>
  <c r="AM53" i="5" s="1"/>
  <c r="AM54" i="5" s="1"/>
  <c r="AM55" i="5" s="1"/>
  <c r="AM56" i="5" s="1"/>
  <c r="AM57" i="5" s="1"/>
  <c r="AM58" i="5" s="1"/>
  <c r="AM59" i="5" s="1"/>
  <c r="AM60" i="5" s="1"/>
  <c r="AM61" i="5" s="1"/>
  <c r="AM62" i="5" s="1"/>
  <c r="AJ34" i="5"/>
  <c r="AJ35" i="5" s="1"/>
  <c r="AJ36" i="5" s="1"/>
  <c r="AJ37" i="5" s="1"/>
  <c r="AJ38" i="5" s="1"/>
  <c r="AJ39" i="5" s="1"/>
  <c r="AJ40" i="5" s="1"/>
  <c r="AJ41" i="5" s="1"/>
  <c r="AJ42" i="5" s="1"/>
  <c r="AJ43" i="5" s="1"/>
  <c r="AJ44" i="5" s="1"/>
  <c r="AJ45" i="5" s="1"/>
  <c r="AJ46" i="5" s="1"/>
  <c r="AJ47" i="5" s="1"/>
  <c r="AJ48" i="5" s="1"/>
  <c r="AJ49" i="5" s="1"/>
  <c r="AJ50" i="5" s="1"/>
  <c r="AJ51" i="5" s="1"/>
  <c r="AJ52" i="5" s="1"/>
  <c r="AJ53" i="5" s="1"/>
  <c r="AJ54" i="5" s="1"/>
  <c r="AJ55" i="5" s="1"/>
  <c r="AJ56" i="5" s="1"/>
  <c r="AJ57" i="5" s="1"/>
  <c r="AJ58" i="5" s="1"/>
  <c r="AJ59" i="5" s="1"/>
  <c r="AJ60" i="5" s="1"/>
  <c r="AJ61" i="5" s="1"/>
  <c r="AJ62" i="5" s="1"/>
  <c r="AJ63" i="5" s="1"/>
  <c r="AJ64" i="5" s="1"/>
  <c r="AJ65" i="5" s="1"/>
  <c r="AJ66" i="5" s="1"/>
  <c r="AJ67" i="5" s="1"/>
  <c r="AJ68" i="5" s="1"/>
  <c r="AJ69" i="5" s="1"/>
  <c r="AJ70" i="5" s="1"/>
  <c r="AJ71" i="5" s="1"/>
  <c r="AJ72" i="5" s="1"/>
  <c r="AJ73" i="5" s="1"/>
  <c r="AJ74" i="5" s="1"/>
  <c r="AJ75" i="5" s="1"/>
  <c r="AJ76" i="5" s="1"/>
  <c r="AJ77" i="5" s="1"/>
  <c r="AJ78" i="5" s="1"/>
  <c r="AJ79" i="5" s="1"/>
  <c r="AJ80" i="5" s="1"/>
  <c r="AJ81" i="5" s="1"/>
  <c r="AJ82" i="5" s="1"/>
  <c r="AJ83" i="5" s="1"/>
  <c r="AJ84" i="5" s="1"/>
  <c r="AJ85" i="5" s="1"/>
  <c r="AJ86" i="5" s="1"/>
  <c r="AJ87" i="5" s="1"/>
  <c r="AJ88" i="5" s="1"/>
  <c r="AJ89" i="5" s="1"/>
  <c r="AJ90" i="5" s="1"/>
  <c r="AJ91" i="5" s="1"/>
  <c r="AJ92" i="5" s="1"/>
  <c r="AJ93" i="5" s="1"/>
  <c r="AJ94" i="5" s="1"/>
  <c r="AJ95" i="5" s="1"/>
  <c r="AJ96" i="5" s="1"/>
  <c r="AJ97" i="5" s="1"/>
  <c r="AJ98" i="5" s="1"/>
  <c r="AJ99" i="5" s="1"/>
  <c r="AJ100" i="5" s="1"/>
  <c r="AJ101" i="5" s="1"/>
  <c r="AJ102" i="5" s="1"/>
  <c r="AJ103" i="5" s="1"/>
  <c r="AJ104" i="5" s="1"/>
  <c r="AJ105" i="5" s="1"/>
  <c r="AJ106" i="5" s="1"/>
  <c r="AJ107" i="5" s="1"/>
  <c r="AJ108" i="5" s="1"/>
  <c r="AJ109" i="5" s="1"/>
  <c r="AJ110" i="5" s="1"/>
  <c r="AJ111" i="5" s="1"/>
  <c r="AJ112" i="5" s="1"/>
  <c r="AJ113" i="5" s="1"/>
  <c r="AJ114" i="5" s="1"/>
  <c r="AJ115" i="5" s="1"/>
  <c r="AJ116" i="5" s="1"/>
  <c r="AJ117" i="5" s="1"/>
  <c r="AJ118" i="5" s="1"/>
  <c r="AJ119" i="5" s="1"/>
  <c r="AJ120" i="5" s="1"/>
  <c r="AJ121" i="5" s="1"/>
  <c r="AJ122" i="5" s="1"/>
  <c r="AJ123" i="5" s="1"/>
  <c r="AJ124" i="5" s="1"/>
  <c r="AJ125" i="5" s="1"/>
  <c r="AJ126" i="5" s="1"/>
  <c r="AJ127" i="5" s="1"/>
  <c r="AJ128" i="5" s="1"/>
  <c r="AJ129" i="5" s="1"/>
  <c r="AJ130" i="5" s="1"/>
  <c r="AJ131" i="5" s="1"/>
  <c r="AJ132" i="5" s="1"/>
  <c r="AJ133" i="5" s="1"/>
  <c r="AJ134" i="5" s="1"/>
  <c r="AJ135" i="5" s="1"/>
  <c r="AJ136" i="5" s="1"/>
  <c r="AJ137" i="5" s="1"/>
  <c r="AJ138" i="5" s="1"/>
  <c r="AJ139" i="5" s="1"/>
  <c r="AJ140" i="5" s="1"/>
  <c r="AJ141" i="5" s="1"/>
  <c r="AJ142" i="5" s="1"/>
  <c r="AJ143" i="5" s="1"/>
  <c r="AJ144" i="5" s="1"/>
  <c r="AJ145" i="5" s="1"/>
  <c r="AJ146" i="5" s="1"/>
  <c r="AJ147" i="5" s="1"/>
  <c r="AJ148" i="5" s="1"/>
  <c r="AJ149" i="5" s="1"/>
  <c r="AJ150" i="5" s="1"/>
  <c r="AJ151" i="5" s="1"/>
  <c r="AJ152" i="5" s="1"/>
  <c r="AJ153" i="5" s="1"/>
  <c r="AJ154" i="5" s="1"/>
  <c r="AJ155" i="5" s="1"/>
  <c r="AJ156" i="5" s="1"/>
  <c r="AJ157" i="5" s="1"/>
  <c r="AJ158" i="5" s="1"/>
  <c r="AJ159" i="5" s="1"/>
  <c r="AJ160" i="5" s="1"/>
  <c r="AJ161" i="5" s="1"/>
  <c r="AJ162" i="5" s="1"/>
  <c r="AJ163" i="5" s="1"/>
  <c r="AJ164" i="5" s="1"/>
  <c r="AJ165" i="5" s="1"/>
  <c r="AJ166" i="5" s="1"/>
  <c r="AJ167" i="5" s="1"/>
  <c r="AJ168" i="5" s="1"/>
  <c r="AJ169" i="5" s="1"/>
  <c r="AJ170" i="5" s="1"/>
  <c r="AJ171" i="5" s="1"/>
  <c r="AJ172" i="5" s="1"/>
  <c r="AJ173" i="5" s="1"/>
  <c r="AJ174" i="5" s="1"/>
  <c r="AJ175" i="5" s="1"/>
  <c r="AJ176" i="5" s="1"/>
  <c r="AJ177" i="5" s="1"/>
  <c r="AJ178" i="5" s="1"/>
  <c r="AJ179" i="5" s="1"/>
  <c r="AJ180" i="5" s="1"/>
  <c r="AJ181" i="5" s="1"/>
  <c r="AJ182" i="5" s="1"/>
  <c r="AJ183" i="5" s="1"/>
  <c r="AJ184" i="5" s="1"/>
  <c r="AJ185" i="5" s="1"/>
  <c r="AJ186" i="5" s="1"/>
  <c r="AJ187" i="5" s="1"/>
  <c r="AJ188" i="5" s="1"/>
  <c r="AJ189" i="5" s="1"/>
  <c r="AJ190" i="5" s="1"/>
  <c r="AJ191" i="5" s="1"/>
  <c r="AJ192" i="5" s="1"/>
  <c r="AJ193" i="5" s="1"/>
  <c r="AJ194" i="5" s="1"/>
  <c r="AJ195" i="5" s="1"/>
  <c r="AJ196" i="5" s="1"/>
  <c r="AJ197" i="5" s="1"/>
  <c r="AJ198" i="5" s="1"/>
  <c r="AJ199" i="5" s="1"/>
  <c r="AJ200" i="5" s="1"/>
  <c r="AJ201" i="5" s="1"/>
  <c r="AJ202" i="5" s="1"/>
  <c r="AJ203" i="5" s="1"/>
  <c r="AJ204" i="5" s="1"/>
  <c r="AJ205" i="5" s="1"/>
  <c r="AJ206" i="5" s="1"/>
  <c r="AJ207" i="5" s="1"/>
  <c r="AJ208" i="5" s="1"/>
  <c r="AJ209" i="5" s="1"/>
  <c r="AJ210" i="5" s="1"/>
  <c r="AJ211" i="5" s="1"/>
  <c r="AJ212" i="5" s="1"/>
  <c r="AJ213" i="5" s="1"/>
  <c r="AJ214" i="5" s="1"/>
  <c r="AJ215" i="5" s="1"/>
  <c r="AJ216" i="5" s="1"/>
  <c r="AJ217" i="5" s="1"/>
  <c r="AJ218" i="5" s="1"/>
  <c r="AJ219" i="5" s="1"/>
  <c r="AJ220" i="5" s="1"/>
  <c r="AJ221" i="5" s="1"/>
  <c r="AJ222" i="5" s="1"/>
  <c r="AJ223" i="5" s="1"/>
  <c r="AJ224" i="5" s="1"/>
  <c r="AJ225" i="5" s="1"/>
  <c r="AJ226" i="5" s="1"/>
  <c r="AJ227" i="5" s="1"/>
  <c r="AJ228" i="5" s="1"/>
  <c r="AJ229" i="5" s="1"/>
  <c r="AJ230" i="5" s="1"/>
  <c r="AJ231" i="5" s="1"/>
  <c r="AJ232" i="5" s="1"/>
  <c r="AJ233" i="5" s="1"/>
  <c r="AJ234" i="5" s="1"/>
  <c r="AJ235" i="5" s="1"/>
  <c r="AJ236" i="5" s="1"/>
  <c r="AJ237" i="5" s="1"/>
  <c r="AJ238" i="5" s="1"/>
  <c r="AJ239" i="5" s="1"/>
  <c r="AJ240" i="5" s="1"/>
  <c r="AJ241" i="5" s="1"/>
  <c r="AJ242" i="5" s="1"/>
  <c r="AJ243" i="5" s="1"/>
  <c r="AJ244" i="5" s="1"/>
  <c r="AJ245" i="5" s="1"/>
  <c r="AJ246" i="5" s="1"/>
  <c r="AJ247" i="5" s="1"/>
  <c r="AJ248" i="5" s="1"/>
  <c r="AJ249" i="5" s="1"/>
  <c r="AJ250" i="5" s="1"/>
  <c r="AJ251" i="5" s="1"/>
  <c r="AJ252" i="5" s="1"/>
  <c r="AJ253" i="5" s="1"/>
  <c r="AJ254" i="5" s="1"/>
  <c r="AJ255" i="5" s="1"/>
  <c r="AJ256" i="5" s="1"/>
  <c r="AJ257" i="5" s="1"/>
  <c r="AJ258" i="5" s="1"/>
  <c r="AJ259" i="5" s="1"/>
  <c r="AJ260" i="5" s="1"/>
  <c r="AJ261" i="5" s="1"/>
  <c r="AJ262" i="5" s="1"/>
  <c r="AJ263" i="5" s="1"/>
  <c r="AJ264" i="5" s="1"/>
  <c r="AJ265" i="5" s="1"/>
  <c r="AJ266" i="5" s="1"/>
  <c r="AJ267" i="5" s="1"/>
  <c r="AJ268" i="5" s="1"/>
  <c r="AJ269" i="5" s="1"/>
  <c r="AJ270" i="5" s="1"/>
  <c r="AJ271" i="5" s="1"/>
  <c r="AJ272" i="5" s="1"/>
  <c r="AJ273" i="5" s="1"/>
  <c r="AJ274" i="5" s="1"/>
  <c r="AJ275" i="5" s="1"/>
  <c r="AJ276" i="5" s="1"/>
  <c r="AJ277" i="5" s="1"/>
  <c r="AJ278" i="5" s="1"/>
  <c r="AJ279" i="5" s="1"/>
  <c r="AJ280" i="5" s="1"/>
  <c r="AJ281" i="5" s="1"/>
  <c r="AJ282" i="5" s="1"/>
  <c r="AJ283" i="5" s="1"/>
  <c r="AJ284" i="5" s="1"/>
  <c r="AJ285" i="5" s="1"/>
  <c r="AJ286" i="5" s="1"/>
  <c r="AJ287" i="5" s="1"/>
  <c r="AJ288" i="5" s="1"/>
  <c r="AJ289" i="5" s="1"/>
  <c r="AJ290" i="5" s="1"/>
  <c r="AJ291" i="5" s="1"/>
  <c r="AJ292" i="5" s="1"/>
  <c r="AJ293" i="5" s="1"/>
  <c r="AJ294" i="5" s="1"/>
  <c r="AJ295" i="5" s="1"/>
  <c r="AJ296" i="5" s="1"/>
  <c r="AJ297" i="5" s="1"/>
  <c r="AJ298" i="5" s="1"/>
  <c r="AJ299" i="5" s="1"/>
  <c r="AJ300" i="5" s="1"/>
  <c r="AJ301" i="5" s="1"/>
  <c r="AJ302" i="5" s="1"/>
  <c r="AJ303" i="5" s="1"/>
  <c r="AJ304" i="5" s="1"/>
  <c r="AJ305" i="5" s="1"/>
  <c r="AJ306" i="5" s="1"/>
  <c r="AJ307" i="5" s="1"/>
  <c r="AJ308" i="5" s="1"/>
  <c r="AJ309" i="5" s="1"/>
  <c r="AJ310" i="5" s="1"/>
  <c r="AJ311" i="5" s="1"/>
  <c r="AJ312" i="5" s="1"/>
  <c r="AJ313" i="5" s="1"/>
  <c r="AJ314" i="5" s="1"/>
  <c r="AJ315" i="5" s="1"/>
  <c r="AJ316" i="5" s="1"/>
  <c r="AJ317" i="5" s="1"/>
  <c r="AJ318" i="5" s="1"/>
  <c r="AJ319" i="5" s="1"/>
  <c r="AJ320" i="5" s="1"/>
  <c r="AJ321" i="5" s="1"/>
  <c r="AJ322" i="5" s="1"/>
  <c r="AJ323" i="5" s="1"/>
  <c r="AJ324" i="5" s="1"/>
  <c r="AJ325" i="5" s="1"/>
  <c r="AJ326" i="5" s="1"/>
  <c r="AJ327" i="5" s="1"/>
  <c r="AJ328" i="5" s="1"/>
  <c r="AJ329" i="5" s="1"/>
  <c r="AJ330" i="5" s="1"/>
  <c r="AJ331" i="5" s="1"/>
  <c r="AJ332" i="5" s="1"/>
  <c r="AJ333" i="5" s="1"/>
  <c r="AJ334" i="5" s="1"/>
  <c r="AJ335" i="5" s="1"/>
  <c r="AJ336" i="5" s="1"/>
  <c r="AJ337" i="5" s="1"/>
  <c r="AJ338" i="5" s="1"/>
  <c r="AJ339" i="5" s="1"/>
  <c r="AJ340" i="5" s="1"/>
  <c r="AJ341" i="5" s="1"/>
  <c r="AJ342" i="5" s="1"/>
  <c r="AJ343" i="5" s="1"/>
  <c r="AJ344" i="5" s="1"/>
  <c r="AJ345" i="5" s="1"/>
  <c r="AJ346" i="5" s="1"/>
  <c r="AJ347" i="5" s="1"/>
  <c r="AJ348" i="5" s="1"/>
  <c r="AJ349" i="5" s="1"/>
  <c r="AJ350" i="5" s="1"/>
  <c r="AJ351" i="5" s="1"/>
  <c r="AJ352" i="5" s="1"/>
  <c r="AJ353" i="5" s="1"/>
  <c r="AJ354" i="5" s="1"/>
  <c r="AJ355" i="5" s="1"/>
  <c r="AJ356" i="5" s="1"/>
  <c r="AJ357" i="5" s="1"/>
  <c r="AJ358" i="5" s="1"/>
  <c r="AJ359" i="5" s="1"/>
  <c r="AJ360" i="5" s="1"/>
  <c r="AJ361" i="5" s="1"/>
  <c r="AJ362" i="5" s="1"/>
  <c r="AJ363" i="5" s="1"/>
  <c r="AJ364" i="5" s="1"/>
  <c r="AJ365" i="5" s="1"/>
  <c r="AJ366" i="5" s="1"/>
  <c r="AJ367" i="5" s="1"/>
  <c r="AJ368" i="5" s="1"/>
  <c r="AJ369" i="5" s="1"/>
  <c r="AJ370" i="5" s="1"/>
  <c r="AJ371" i="5" s="1"/>
  <c r="AJ372" i="5" s="1"/>
  <c r="AJ373" i="5" s="1"/>
  <c r="AJ374" i="5" s="1"/>
  <c r="AJ375" i="5" s="1"/>
  <c r="AJ376" i="5" s="1"/>
  <c r="AJ377" i="5" s="1"/>
  <c r="AJ378" i="5" s="1"/>
  <c r="AJ379" i="5" s="1"/>
  <c r="AJ380" i="5" s="1"/>
  <c r="AJ381" i="5" s="1"/>
  <c r="AJ382" i="5" s="1"/>
  <c r="AJ383" i="5" s="1"/>
  <c r="AJ384" i="5" s="1"/>
  <c r="AJ385" i="5" s="1"/>
  <c r="AJ386" i="5" s="1"/>
  <c r="AJ387" i="5" s="1"/>
  <c r="AJ388" i="5" s="1"/>
  <c r="AJ389" i="5" s="1"/>
  <c r="AJ390" i="5" s="1"/>
  <c r="AJ391" i="5" s="1"/>
  <c r="AJ392" i="5" s="1"/>
  <c r="AJ393" i="5" s="1"/>
  <c r="AJ394" i="5" s="1"/>
  <c r="AJ395" i="5" s="1"/>
  <c r="AJ396" i="5" s="1"/>
  <c r="AJ397" i="5" s="1"/>
  <c r="AJ398" i="5" s="1"/>
  <c r="AJ399" i="5" s="1"/>
  <c r="AJ400" i="5" s="1"/>
  <c r="AJ401" i="5" s="1"/>
  <c r="AJ402" i="5" s="1"/>
  <c r="AJ403" i="5" s="1"/>
  <c r="AJ404" i="5" s="1"/>
  <c r="AJ405" i="5" s="1"/>
  <c r="AJ406" i="5" s="1"/>
  <c r="AJ407" i="5" s="1"/>
  <c r="AJ408" i="5" s="1"/>
  <c r="AJ409" i="5" s="1"/>
  <c r="AJ410" i="5" s="1"/>
  <c r="AJ411" i="5" s="1"/>
  <c r="AJ412" i="5" s="1"/>
  <c r="AJ413" i="5" s="1"/>
  <c r="AJ414" i="5" s="1"/>
  <c r="AJ415" i="5" s="1"/>
  <c r="AJ416" i="5" s="1"/>
  <c r="AJ417" i="5" s="1"/>
  <c r="AJ418" i="5" s="1"/>
  <c r="AJ419" i="5" s="1"/>
  <c r="AJ420" i="5" s="1"/>
  <c r="AJ421" i="5" s="1"/>
  <c r="AJ422" i="5" s="1"/>
  <c r="AJ423" i="5" s="1"/>
  <c r="AJ424" i="5" s="1"/>
  <c r="AJ425" i="5" s="1"/>
  <c r="AJ426" i="5" s="1"/>
  <c r="AJ427" i="5" s="1"/>
  <c r="AJ428" i="5" s="1"/>
  <c r="AJ429" i="5" s="1"/>
  <c r="AJ430" i="5" s="1"/>
  <c r="AJ431" i="5" s="1"/>
  <c r="AJ432" i="5" s="1"/>
  <c r="AJ433" i="5" s="1"/>
  <c r="AJ434" i="5" s="1"/>
  <c r="AJ435" i="5" s="1"/>
  <c r="AJ436" i="5" s="1"/>
  <c r="AJ437" i="5" s="1"/>
  <c r="AJ438" i="5" s="1"/>
  <c r="AJ439" i="5" s="1"/>
  <c r="AJ440" i="5" s="1"/>
  <c r="AJ441" i="5" s="1"/>
  <c r="AJ442" i="5" s="1"/>
  <c r="AJ443" i="5" s="1"/>
  <c r="AJ33" i="8" l="1"/>
  <c r="AM32" i="8"/>
  <c r="AM33" i="8" l="1"/>
  <c r="AM34" i="8" s="1"/>
  <c r="AM35" i="8" s="1"/>
  <c r="AM36" i="8" s="1"/>
  <c r="AM37" i="8" s="1"/>
  <c r="AM38" i="8" s="1"/>
  <c r="AM39" i="8" s="1"/>
  <c r="AM40" i="8" s="1"/>
  <c r="AM41" i="8" s="1"/>
  <c r="AM42" i="8" s="1"/>
  <c r="AM43" i="8" s="1"/>
  <c r="AM44" i="8" s="1"/>
  <c r="AM45" i="8" s="1"/>
  <c r="AM46" i="8" s="1"/>
  <c r="AM47" i="8" s="1"/>
  <c r="AM48" i="8" s="1"/>
  <c r="AM49" i="8" s="1"/>
  <c r="AM50" i="8" s="1"/>
  <c r="AM51" i="8" s="1"/>
  <c r="AM52" i="8" s="1"/>
  <c r="AM53" i="8" s="1"/>
  <c r="AM54" i="8" s="1"/>
  <c r="AM55" i="8" s="1"/>
  <c r="AM56" i="8" s="1"/>
  <c r="AM57" i="8" s="1"/>
  <c r="AM58" i="8" s="1"/>
  <c r="AM59" i="8" s="1"/>
  <c r="AM60" i="8" s="1"/>
  <c r="AM61" i="8" s="1"/>
  <c r="AM62" i="8" s="1"/>
  <c r="AJ34" i="8"/>
  <c r="AJ35" i="8" s="1"/>
  <c r="AJ36" i="8" s="1"/>
  <c r="AJ37" i="8" s="1"/>
  <c r="AJ38" i="8" s="1"/>
  <c r="AJ39" i="8" s="1"/>
  <c r="AJ40" i="8" s="1"/>
  <c r="AJ41" i="8" s="1"/>
  <c r="AJ42" i="8" s="1"/>
  <c r="AJ43" i="8" s="1"/>
  <c r="AJ44" i="8" s="1"/>
  <c r="AJ45" i="8" s="1"/>
  <c r="AJ46" i="8" s="1"/>
  <c r="AJ47" i="8" s="1"/>
  <c r="AJ48" i="8" s="1"/>
  <c r="AJ49" i="8" s="1"/>
  <c r="AJ50" i="8" s="1"/>
  <c r="AJ51" i="8" s="1"/>
  <c r="AJ52" i="8" s="1"/>
  <c r="AJ53" i="8" s="1"/>
  <c r="AJ54" i="8" s="1"/>
  <c r="AJ55" i="8" s="1"/>
  <c r="AJ56" i="8" s="1"/>
  <c r="AJ57" i="8" s="1"/>
  <c r="AJ58" i="8" s="1"/>
  <c r="AJ59" i="8" s="1"/>
  <c r="AJ60" i="8" s="1"/>
  <c r="AJ61" i="8" s="1"/>
  <c r="AJ62" i="8" s="1"/>
  <c r="AJ63" i="8" s="1"/>
  <c r="AJ64" i="8" s="1"/>
  <c r="AJ65" i="8" s="1"/>
  <c r="AJ66" i="8" s="1"/>
  <c r="AJ67" i="8" s="1"/>
  <c r="AJ68" i="8" s="1"/>
  <c r="AJ69" i="8" s="1"/>
  <c r="AJ70" i="8" s="1"/>
  <c r="AJ71" i="8" s="1"/>
  <c r="AJ72" i="8" s="1"/>
  <c r="AJ73" i="8" s="1"/>
  <c r="AJ74" i="8" s="1"/>
  <c r="AJ75" i="8" s="1"/>
  <c r="AJ76" i="8" s="1"/>
  <c r="AJ77" i="8" s="1"/>
  <c r="AJ78" i="8" s="1"/>
  <c r="AJ79" i="8" s="1"/>
  <c r="AJ80" i="8" s="1"/>
  <c r="AJ81" i="8" s="1"/>
  <c r="AJ82" i="8" s="1"/>
  <c r="AJ83" i="8" s="1"/>
  <c r="AJ84" i="8" s="1"/>
  <c r="AJ85" i="8" s="1"/>
  <c r="AJ86" i="8" s="1"/>
  <c r="AJ87" i="8" s="1"/>
  <c r="AJ88" i="8" s="1"/>
  <c r="AJ89" i="8" s="1"/>
  <c r="AJ90" i="8" s="1"/>
  <c r="AJ91" i="8" s="1"/>
  <c r="AJ92" i="8" s="1"/>
  <c r="AJ93" i="8" s="1"/>
  <c r="AJ94" i="8" s="1"/>
  <c r="AJ95" i="8" s="1"/>
  <c r="AJ96" i="8" s="1"/>
  <c r="AJ97" i="8" s="1"/>
  <c r="AJ98" i="8" s="1"/>
  <c r="AJ99" i="8" s="1"/>
  <c r="AJ100" i="8" s="1"/>
  <c r="AJ101" i="8" s="1"/>
  <c r="AJ102" i="8" s="1"/>
  <c r="AJ103" i="8" s="1"/>
  <c r="AJ104" i="8" s="1"/>
  <c r="AJ105" i="8" s="1"/>
  <c r="AJ106" i="8" s="1"/>
  <c r="AJ107" i="8" s="1"/>
  <c r="AJ108" i="8" s="1"/>
  <c r="AJ109" i="8" s="1"/>
  <c r="AJ110" i="8" s="1"/>
  <c r="AJ111" i="8" s="1"/>
  <c r="AJ112" i="8" s="1"/>
  <c r="AJ113" i="8" s="1"/>
  <c r="AJ114" i="8" s="1"/>
  <c r="AJ115" i="8" s="1"/>
  <c r="AJ116" i="8" s="1"/>
  <c r="AJ117" i="8" s="1"/>
  <c r="AJ118" i="8" s="1"/>
  <c r="AJ119" i="8" s="1"/>
  <c r="AJ120" i="8" s="1"/>
  <c r="AJ121" i="8" s="1"/>
  <c r="AJ122" i="8" s="1"/>
  <c r="AJ123" i="8" s="1"/>
  <c r="AJ124" i="8" s="1"/>
  <c r="AJ125" i="8" s="1"/>
  <c r="AJ126" i="8" s="1"/>
  <c r="AJ127" i="8" s="1"/>
  <c r="AJ128" i="8" s="1"/>
  <c r="AJ129" i="8" s="1"/>
  <c r="AJ130" i="8" s="1"/>
  <c r="AJ131" i="8" s="1"/>
  <c r="AJ132" i="8" s="1"/>
  <c r="AJ133" i="8" s="1"/>
  <c r="AJ134" i="8" s="1"/>
  <c r="AJ135" i="8" s="1"/>
  <c r="AJ136" i="8" s="1"/>
  <c r="AJ137" i="8" s="1"/>
  <c r="AJ138" i="8" s="1"/>
  <c r="AJ139" i="8" s="1"/>
  <c r="AJ140" i="8" s="1"/>
  <c r="AJ141" i="8" s="1"/>
  <c r="AJ142" i="8" s="1"/>
  <c r="AJ143" i="8" s="1"/>
  <c r="AJ144" i="8" s="1"/>
  <c r="AJ145" i="8" s="1"/>
  <c r="AJ146" i="8" s="1"/>
  <c r="AJ147" i="8" s="1"/>
  <c r="AJ148" i="8" s="1"/>
  <c r="AJ149" i="8" s="1"/>
  <c r="AJ150" i="8" s="1"/>
  <c r="AJ151" i="8" s="1"/>
  <c r="AJ152" i="8" s="1"/>
  <c r="AJ153" i="8" s="1"/>
  <c r="AJ154" i="8" s="1"/>
  <c r="AJ155" i="8" s="1"/>
  <c r="AJ156" i="8" s="1"/>
  <c r="AJ157" i="8" s="1"/>
  <c r="AJ158" i="8" s="1"/>
  <c r="AJ159" i="8" s="1"/>
  <c r="AJ160" i="8" s="1"/>
  <c r="AJ161" i="8" s="1"/>
  <c r="AJ162" i="8" s="1"/>
  <c r="AJ163" i="8" s="1"/>
  <c r="AJ164" i="8" s="1"/>
  <c r="AJ165" i="8" s="1"/>
  <c r="AJ166" i="8" s="1"/>
  <c r="AJ167" i="8" s="1"/>
  <c r="AJ168" i="8" s="1"/>
  <c r="AJ169" i="8" s="1"/>
  <c r="AJ170" i="8" s="1"/>
  <c r="AJ171" i="8" s="1"/>
  <c r="AJ172" i="8" s="1"/>
  <c r="AJ173" i="8" s="1"/>
  <c r="AJ174" i="8" s="1"/>
  <c r="AJ175" i="8" s="1"/>
  <c r="AJ176" i="8" s="1"/>
  <c r="AJ177" i="8" s="1"/>
  <c r="AJ178" i="8" s="1"/>
  <c r="AJ179" i="8" s="1"/>
  <c r="AJ180" i="8" s="1"/>
  <c r="AJ181" i="8" s="1"/>
  <c r="AJ182" i="8" s="1"/>
  <c r="AJ183" i="8" s="1"/>
  <c r="AJ184" i="8" s="1"/>
  <c r="AJ185" i="8" s="1"/>
  <c r="AJ186" i="8" s="1"/>
  <c r="AJ187" i="8" s="1"/>
  <c r="AJ188" i="8" s="1"/>
  <c r="AJ189" i="8" s="1"/>
  <c r="AJ190" i="8" s="1"/>
  <c r="AJ191" i="8" s="1"/>
  <c r="AJ192" i="8" s="1"/>
  <c r="AJ193" i="8" s="1"/>
  <c r="AJ194" i="8" s="1"/>
  <c r="AJ195" i="8" s="1"/>
  <c r="AJ196" i="8" s="1"/>
  <c r="AJ197" i="8" s="1"/>
  <c r="AJ198" i="8" s="1"/>
  <c r="AJ199" i="8" s="1"/>
  <c r="AJ200" i="8" s="1"/>
  <c r="AJ201" i="8" s="1"/>
  <c r="AJ202" i="8" s="1"/>
  <c r="AJ203" i="8" s="1"/>
  <c r="AJ204" i="8" s="1"/>
  <c r="AJ205" i="8" s="1"/>
  <c r="AJ206" i="8" s="1"/>
  <c r="AJ207" i="8" s="1"/>
  <c r="AJ208" i="8" s="1"/>
  <c r="AJ209" i="8" s="1"/>
  <c r="AJ210" i="8" s="1"/>
  <c r="AJ211" i="8" s="1"/>
  <c r="AJ212" i="8" s="1"/>
  <c r="AJ213" i="8" s="1"/>
  <c r="AJ214" i="8" s="1"/>
  <c r="AJ215" i="8" s="1"/>
  <c r="AJ216" i="8" s="1"/>
  <c r="AJ217" i="8" s="1"/>
  <c r="AJ218" i="8" s="1"/>
  <c r="AJ219" i="8" s="1"/>
  <c r="AJ220" i="8" s="1"/>
  <c r="AJ221" i="8" s="1"/>
  <c r="AJ222" i="8" s="1"/>
  <c r="AJ223" i="8" s="1"/>
  <c r="AJ224" i="8" s="1"/>
  <c r="AJ225" i="8" s="1"/>
  <c r="AJ226" i="8" s="1"/>
  <c r="AJ227" i="8" s="1"/>
  <c r="AJ228" i="8" s="1"/>
  <c r="AJ229" i="8" s="1"/>
  <c r="AJ230" i="8" s="1"/>
  <c r="AJ231" i="8" s="1"/>
  <c r="AJ232" i="8" s="1"/>
  <c r="AJ233" i="8" s="1"/>
  <c r="AJ234" i="8" s="1"/>
  <c r="AJ235" i="8" s="1"/>
  <c r="AJ236" i="8" s="1"/>
  <c r="AJ237" i="8" s="1"/>
  <c r="AJ238" i="8" s="1"/>
  <c r="AJ239" i="8" s="1"/>
  <c r="AJ240" i="8" s="1"/>
  <c r="AJ241" i="8" s="1"/>
  <c r="AJ242" i="8" s="1"/>
  <c r="AJ243" i="8" s="1"/>
  <c r="AJ244" i="8" s="1"/>
  <c r="AJ245" i="8" s="1"/>
  <c r="AJ246" i="8" s="1"/>
  <c r="AJ247" i="8" s="1"/>
  <c r="AJ248" i="8" s="1"/>
  <c r="AJ249" i="8" s="1"/>
  <c r="AJ250" i="8" s="1"/>
  <c r="AJ251" i="8" s="1"/>
  <c r="AJ252" i="8" s="1"/>
  <c r="AJ253" i="8" s="1"/>
  <c r="AJ254" i="8" s="1"/>
  <c r="AJ255" i="8" s="1"/>
  <c r="AJ256" i="8" s="1"/>
  <c r="AJ257" i="8" s="1"/>
  <c r="AJ258" i="8" s="1"/>
  <c r="AJ259" i="8" s="1"/>
  <c r="AJ260" i="8" s="1"/>
  <c r="AJ261" i="8" s="1"/>
  <c r="AJ262" i="8" s="1"/>
  <c r="AJ263" i="8" s="1"/>
  <c r="AJ264" i="8" s="1"/>
  <c r="AJ265" i="8" s="1"/>
  <c r="AJ266" i="8" s="1"/>
  <c r="AJ267" i="8" s="1"/>
  <c r="AJ268" i="8" s="1"/>
  <c r="AJ269" i="8" s="1"/>
  <c r="AJ270" i="8" s="1"/>
  <c r="AJ271" i="8" s="1"/>
  <c r="AJ272" i="8" s="1"/>
  <c r="AJ273" i="8" s="1"/>
  <c r="AJ274" i="8" s="1"/>
  <c r="AJ275" i="8" s="1"/>
  <c r="AJ276" i="8" s="1"/>
  <c r="AJ277" i="8" s="1"/>
  <c r="AJ278" i="8" s="1"/>
  <c r="AJ279" i="8" s="1"/>
  <c r="AJ280" i="8" s="1"/>
  <c r="AJ281" i="8" s="1"/>
  <c r="AJ282" i="8" s="1"/>
  <c r="AJ283" i="8" s="1"/>
  <c r="AJ284" i="8" s="1"/>
  <c r="AJ285" i="8" s="1"/>
  <c r="AJ286" i="8" s="1"/>
  <c r="AJ287" i="8" s="1"/>
  <c r="AJ288" i="8" s="1"/>
  <c r="AJ289" i="8" s="1"/>
  <c r="AJ290" i="8" s="1"/>
  <c r="AJ291" i="8" s="1"/>
  <c r="AJ292" i="8" s="1"/>
  <c r="AJ293" i="8" s="1"/>
  <c r="AJ294" i="8" s="1"/>
  <c r="AJ295" i="8" s="1"/>
  <c r="AJ296" i="8" s="1"/>
  <c r="AJ297" i="8" s="1"/>
  <c r="AJ298" i="8" s="1"/>
  <c r="AJ299" i="8" s="1"/>
  <c r="AJ300" i="8" s="1"/>
  <c r="AJ301" i="8" s="1"/>
  <c r="AJ302" i="8" s="1"/>
  <c r="AJ303" i="8" s="1"/>
  <c r="AJ304" i="8" s="1"/>
  <c r="AJ305" i="8" s="1"/>
  <c r="AJ306" i="8" s="1"/>
  <c r="AJ307" i="8" s="1"/>
  <c r="AJ308" i="8" s="1"/>
  <c r="AJ309" i="8" s="1"/>
  <c r="AJ310" i="8" s="1"/>
  <c r="AJ311" i="8" s="1"/>
  <c r="AJ312" i="8" s="1"/>
  <c r="AJ313" i="8" s="1"/>
  <c r="AJ314" i="8" s="1"/>
  <c r="AJ315" i="8" s="1"/>
  <c r="AJ316" i="8" s="1"/>
  <c r="AJ317" i="8" s="1"/>
  <c r="AJ318" i="8" s="1"/>
  <c r="AJ319" i="8" s="1"/>
  <c r="AJ320" i="8" s="1"/>
  <c r="AJ321" i="8" s="1"/>
  <c r="AJ322" i="8" s="1"/>
  <c r="AJ323" i="8" s="1"/>
  <c r="AJ324" i="8" s="1"/>
  <c r="AJ325" i="8" s="1"/>
  <c r="AJ326" i="8" s="1"/>
  <c r="AJ327" i="8" s="1"/>
  <c r="AJ328" i="8" s="1"/>
  <c r="AJ329" i="8" s="1"/>
  <c r="AJ330" i="8" s="1"/>
  <c r="AJ331" i="8" s="1"/>
  <c r="AJ332" i="8" s="1"/>
  <c r="AJ333" i="8" s="1"/>
  <c r="AJ334" i="8" s="1"/>
  <c r="AJ335" i="8" s="1"/>
  <c r="AJ336" i="8" s="1"/>
  <c r="AJ337" i="8" s="1"/>
  <c r="AJ338" i="8" s="1"/>
  <c r="AJ339" i="8" s="1"/>
  <c r="AJ340" i="8" s="1"/>
  <c r="AJ341" i="8" s="1"/>
  <c r="AJ342" i="8" s="1"/>
  <c r="AJ343" i="8" s="1"/>
  <c r="AJ344" i="8" s="1"/>
  <c r="AJ345" i="8" s="1"/>
  <c r="AJ346" i="8" s="1"/>
  <c r="AJ347" i="8" s="1"/>
  <c r="AJ348" i="8" s="1"/>
  <c r="AJ349" i="8" s="1"/>
  <c r="AJ350" i="8" s="1"/>
  <c r="AJ351" i="8" s="1"/>
  <c r="AJ352" i="8" s="1"/>
  <c r="AJ353" i="8" s="1"/>
  <c r="AJ354" i="8" s="1"/>
  <c r="AJ355" i="8" s="1"/>
  <c r="AJ356" i="8" s="1"/>
  <c r="AJ357" i="8" s="1"/>
  <c r="AJ358" i="8" s="1"/>
  <c r="AJ359" i="8" s="1"/>
  <c r="AJ360" i="8" s="1"/>
  <c r="AJ361" i="8" s="1"/>
  <c r="AJ362" i="8" s="1"/>
  <c r="AJ363" i="8" s="1"/>
  <c r="AJ364" i="8" s="1"/>
  <c r="AJ365" i="8" s="1"/>
  <c r="AJ366" i="8" s="1"/>
  <c r="AJ367" i="8" s="1"/>
  <c r="AJ368" i="8" s="1"/>
  <c r="AJ369" i="8" s="1"/>
  <c r="AJ370" i="8" s="1"/>
  <c r="AJ371" i="8" s="1"/>
  <c r="AJ372" i="8" s="1"/>
  <c r="AJ373" i="8" s="1"/>
  <c r="AJ374" i="8" s="1"/>
  <c r="AJ375" i="8" s="1"/>
  <c r="AJ376" i="8" s="1"/>
  <c r="AJ377" i="8" s="1"/>
  <c r="AJ378" i="8" s="1"/>
  <c r="AJ379" i="8" s="1"/>
  <c r="AJ380" i="8" s="1"/>
  <c r="AJ381" i="8" s="1"/>
  <c r="AJ382" i="8" s="1"/>
  <c r="AJ383" i="8" s="1"/>
  <c r="AJ384" i="8" s="1"/>
  <c r="AJ385" i="8" s="1"/>
  <c r="AJ386" i="8" s="1"/>
  <c r="AJ387" i="8" s="1"/>
  <c r="AJ388" i="8" s="1"/>
  <c r="AJ389" i="8" s="1"/>
  <c r="AJ390" i="8" s="1"/>
  <c r="AJ391" i="8" s="1"/>
  <c r="AJ392" i="8" s="1"/>
  <c r="AJ393" i="8" s="1"/>
  <c r="AJ394" i="8" s="1"/>
  <c r="AJ395" i="8" s="1"/>
  <c r="AJ396" i="8" s="1"/>
  <c r="AJ397" i="8" s="1"/>
  <c r="AJ398" i="8" s="1"/>
  <c r="AJ399" i="8" s="1"/>
  <c r="AJ400" i="8" s="1"/>
  <c r="AJ401" i="8" s="1"/>
  <c r="AJ402" i="8" s="1"/>
  <c r="AJ403" i="8" s="1"/>
  <c r="AJ404" i="8" s="1"/>
  <c r="AJ405" i="8" s="1"/>
  <c r="AJ406" i="8" s="1"/>
  <c r="AJ407" i="8" s="1"/>
  <c r="AJ408" i="8" s="1"/>
  <c r="AJ409" i="8" s="1"/>
  <c r="AJ410" i="8" s="1"/>
  <c r="AJ411" i="8" s="1"/>
  <c r="AJ412" i="8" s="1"/>
  <c r="AJ413" i="8" s="1"/>
  <c r="AJ414" i="8" s="1"/>
  <c r="AJ415" i="8" s="1"/>
  <c r="AJ416" i="8" s="1"/>
  <c r="AJ417" i="8" s="1"/>
  <c r="AJ418" i="8" s="1"/>
  <c r="AJ419" i="8" s="1"/>
  <c r="AJ420" i="8" s="1"/>
  <c r="AJ421" i="8" s="1"/>
  <c r="AJ422" i="8" s="1"/>
  <c r="AJ423" i="8" s="1"/>
  <c r="AJ424" i="8" s="1"/>
  <c r="AJ425" i="8" s="1"/>
  <c r="AJ426" i="8" s="1"/>
  <c r="AJ427" i="8" s="1"/>
  <c r="AJ428" i="8" s="1"/>
  <c r="AJ429" i="8" s="1"/>
  <c r="AJ430" i="8" s="1"/>
  <c r="AJ431" i="8" s="1"/>
  <c r="AJ432" i="8" s="1"/>
  <c r="AJ433" i="8" s="1"/>
  <c r="AJ434" i="8" s="1"/>
  <c r="AJ435" i="8" s="1"/>
  <c r="AJ436" i="8" s="1"/>
  <c r="AJ437" i="8" s="1"/>
  <c r="AJ438" i="8" s="1"/>
  <c r="AJ439" i="8" s="1"/>
  <c r="AJ440" i="8" s="1"/>
  <c r="AJ441" i="8" s="1"/>
  <c r="AJ442" i="8" s="1"/>
  <c r="AJ44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C.</author>
    <author>ccronin</author>
  </authors>
  <commentList>
    <comment ref="A13" authorId="0" shapeId="0" xr:uid="{00000000-0006-0000-0000-000001000000}">
      <text>
        <r>
          <rPr>
            <b/>
            <sz val="8"/>
            <color indexed="81"/>
            <rFont val="Verdana"/>
            <family val="2"/>
          </rPr>
          <t>Chris C.:</t>
        </r>
        <r>
          <rPr>
            <sz val="8"/>
            <color indexed="81"/>
            <rFont val="Verdana"/>
            <family val="2"/>
          </rPr>
          <t xml:space="preserve">
12 years should be listed.  When using data evaluated as of 3/31, add a new year and drop the oldest.</t>
        </r>
      </text>
    </comment>
    <comment ref="C13" authorId="0" shapeId="0" xr:uid="{00000000-0006-0000-0000-000002000000}">
      <text>
        <r>
          <rPr>
            <b/>
            <sz val="8"/>
            <color indexed="81"/>
            <rFont val="Verdana"/>
            <family val="2"/>
          </rPr>
          <t>Chris C.:</t>
        </r>
        <r>
          <rPr>
            <sz val="8"/>
            <color indexed="81"/>
            <rFont val="Verdana"/>
            <family val="2"/>
          </rPr>
          <t xml:space="preserve">
From the MA Reserving Committee Agenda.  Use the latest booked with escalation figures.</t>
        </r>
      </text>
    </comment>
    <comment ref="E13" authorId="0" shapeId="0" xr:uid="{00000000-0006-0000-0000-000003000000}">
      <text>
        <r>
          <rPr>
            <b/>
            <sz val="8"/>
            <color indexed="81"/>
            <rFont val="Verdana"/>
            <family val="2"/>
          </rPr>
          <t>Chris C.:</t>
        </r>
        <r>
          <rPr>
            <sz val="8"/>
            <color indexed="81"/>
            <rFont val="Verdana"/>
            <family val="2"/>
          </rPr>
          <t xml:space="preserve">
Use the Written Premiums from the Net Written Premiums Triangles from the Reserving Committee's Agenda.</t>
        </r>
      </text>
    </comment>
    <comment ref="G13" authorId="0" shapeId="0" xr:uid="{00000000-0006-0000-0000-000004000000}">
      <text>
        <r>
          <rPr>
            <b/>
            <sz val="8"/>
            <color indexed="81"/>
            <rFont val="Verdana"/>
            <family val="2"/>
          </rPr>
          <t>Chris C.:</t>
        </r>
        <r>
          <rPr>
            <sz val="8"/>
            <color indexed="81"/>
            <rFont val="Verdana"/>
            <family val="2"/>
          </rPr>
          <t xml:space="preserve">
Either use the Development Factors from  NCCI's R.M. Underwriting Results report or develop your own from the Net Written premium Development Factors.</t>
        </r>
      </text>
    </comment>
    <comment ref="K13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ccronin:</t>
        </r>
        <r>
          <rPr>
            <sz val="8"/>
            <color indexed="81"/>
            <rFont val="Tahoma"/>
            <family val="2"/>
          </rPr>
          <t xml:space="preserve">
As of 4Q07, ALAE is included in Expenses instead of in the Loss &amp; ALAE ratio.</t>
        </r>
      </text>
    </comment>
    <comment ref="M13" authorId="0" shapeId="0" xr:uid="{00000000-0006-0000-0000-000006000000}">
      <text>
        <r>
          <rPr>
            <b/>
            <sz val="8"/>
            <color indexed="81"/>
            <rFont val="Verdana"/>
            <family val="2"/>
          </rPr>
          <t>Chris C.:</t>
        </r>
        <r>
          <rPr>
            <sz val="8"/>
            <color indexed="81"/>
            <rFont val="Verdana"/>
            <family val="2"/>
          </rPr>
          <t xml:space="preserve">
From NCCI's Residual Market Underwriting Results Report.</t>
        </r>
      </text>
    </comment>
    <comment ref="O13" authorId="0" shapeId="0" xr:uid="{00000000-0006-0000-0000-000007000000}">
      <text>
        <r>
          <rPr>
            <b/>
            <sz val="8"/>
            <color indexed="81"/>
            <rFont val="Verdana"/>
            <family val="2"/>
          </rPr>
          <t>Chris C.:</t>
        </r>
        <r>
          <rPr>
            <sz val="8"/>
            <color indexed="81"/>
            <rFont val="Verdana"/>
            <family val="2"/>
          </rPr>
          <t xml:space="preserve">
From NCCI's Residual Market Underwriting Results Report.</t>
        </r>
      </text>
    </comment>
    <comment ref="Q13" authorId="0" shapeId="0" xr:uid="{00000000-0006-0000-0000-000008000000}">
      <text>
        <r>
          <rPr>
            <b/>
            <sz val="8"/>
            <color indexed="81"/>
            <rFont val="Verdana"/>
            <family val="2"/>
          </rPr>
          <t>Chris C.:</t>
        </r>
        <r>
          <rPr>
            <sz val="8"/>
            <color indexed="81"/>
            <rFont val="Verdana"/>
            <family val="2"/>
          </rPr>
          <t xml:space="preserve">
From NCCI's Residual Market Underwriting Results Report.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ccronin</author>
  </authors>
  <commentList>
    <comment ref="J44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The Distribution and SCA detail reports were off by $1 - again!  What's going on??</t>
        </r>
      </text>
    </comment>
    <comment ref="O484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ccronin:</t>
        </r>
        <r>
          <rPr>
            <sz val="8"/>
            <color indexed="81"/>
            <rFont val="Tahoma"/>
            <family val="2"/>
          </rPr>
          <t xml:space="preserve">
PLRIP adjustment</t>
        </r>
      </text>
    </comment>
    <comment ref="J48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The Distribution and SCA detail reports were off by $1.</t>
        </r>
      </text>
    </comment>
    <comment ref="G500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ccronin:</t>
        </r>
        <r>
          <rPr>
            <sz val="8"/>
            <color indexed="81"/>
            <rFont val="Tahoma"/>
            <family val="2"/>
          </rPr>
          <t xml:space="preserve">
Doesn't agree with Burden Data - why not??</t>
        </r>
      </text>
    </comment>
    <comment ref="J504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ccronin:</t>
        </r>
        <r>
          <rPr>
            <sz val="8"/>
            <color indexed="81"/>
            <rFont val="Tahoma"/>
            <family val="2"/>
          </rPr>
          <t xml:space="preserve">
The 1Q06 distribution and the 1Q06 SCA sheet don't agree.  Why not??</t>
        </r>
      </text>
    </comment>
    <comment ref="J58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The Distribution and SCA detail reports were off by $1.</t>
        </r>
      </text>
    </comment>
    <comment ref="J58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Distribution and SCA detail differ by $1.  Used SCA detail.</t>
        </r>
      </text>
    </comment>
    <comment ref="J604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This $158 variance was explained by an email from Donte/Liberty.</t>
        </r>
      </text>
    </comment>
    <comment ref="J605" authorId="0" shapeId="0" xr:uid="{00000000-0006-0000-0100-000009000000}">
      <text>
        <r>
          <rPr>
            <b/>
            <sz val="10"/>
            <color indexed="81"/>
            <rFont val="Tahoma"/>
            <family val="2"/>
          </rPr>
          <t>ccronin:</t>
        </r>
        <r>
          <rPr>
            <sz val="10"/>
            <color indexed="81"/>
            <rFont val="Tahoma"/>
            <family val="2"/>
          </rPr>
          <t xml:space="preserve">
Differs from Distribution Report by $158 - correction for last quarter.  See 7/14/11 email from Donte'.</t>
        </r>
      </text>
    </comment>
    <comment ref="O627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Adjusted by $.01.</t>
        </r>
      </text>
    </comment>
    <comment ref="O64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As of this quarter, Insolvency Fund assessments/reimbursements are being allocated to the policy year of the insolvency.</t>
        </r>
      </text>
    </comment>
    <comment ref="J655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ccronin:</t>
        </r>
        <r>
          <rPr>
            <sz val="9"/>
            <color indexed="81"/>
            <rFont val="Tahoma"/>
            <family val="2"/>
          </rPr>
          <t xml:space="preserve">
Liberty carrier 27243 is reporting $766.81 more on their hard copy reports.  Sent Donte' an email.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ccronin</author>
  </authors>
  <commentList>
    <comment ref="B22" authorId="0" shapeId="0" xr:uid="{00000000-0006-0000-0200-000001000000}">
      <text>
        <r>
          <rPr>
            <b/>
            <sz val="11"/>
            <color indexed="81"/>
            <rFont val="Tahoma"/>
            <family val="2"/>
          </rPr>
          <t>ccronin:</t>
        </r>
        <r>
          <rPr>
            <sz val="11"/>
            <color indexed="81"/>
            <rFont val="Tahoma"/>
            <family val="2"/>
          </rPr>
          <t xml:space="preserve">
Includes Administrative, Producer, Miscellaneous and -(Interest Income)</t>
        </r>
      </text>
    </comment>
  </commentList>
</comments>
</file>

<file path=xl/sharedStrings.xml><?xml version="1.0" encoding="utf-8"?>
<sst xmlns="http://schemas.openxmlformats.org/spreadsheetml/2006/main" count="1081" uniqueCount="360">
  <si>
    <t>The following are the inputs to be used in calculating the Residual Market Burden.</t>
  </si>
  <si>
    <t xml:space="preserve">The calculations, tables and graphs produced in this spreadsheet are used in the </t>
  </si>
  <si>
    <t>and are accessed by the WCRIB Residual Market Burden estimator web page.</t>
  </si>
  <si>
    <t>quarterly special bulletin that provides information about the R.M. Burden</t>
  </si>
  <si>
    <t>Pool Loss Ratio Indications and Selections</t>
  </si>
  <si>
    <t>Development Factors</t>
  </si>
  <si>
    <t>Net Operating Gain/(Loss)</t>
  </si>
  <si>
    <t>VDAC Factors</t>
  </si>
  <si>
    <t>PY</t>
  </si>
  <si>
    <t>BURDEN INPUTS</t>
  </si>
  <si>
    <t>Calendar Year Assessable Base</t>
  </si>
  <si>
    <t>(1)</t>
  </si>
  <si>
    <t>(2)</t>
  </si>
  <si>
    <t>(3)</t>
  </si>
  <si>
    <t>(4)</t>
  </si>
  <si>
    <t>(5)</t>
  </si>
  <si>
    <t>(6)</t>
  </si>
  <si>
    <t>(7)</t>
  </si>
  <si>
    <t>Policy Year</t>
  </si>
  <si>
    <t>Expense Ratios</t>
  </si>
  <si>
    <t>Estimated Pool Burden</t>
  </si>
  <si>
    <t>(4) x (5)</t>
  </si>
  <si>
    <t>Ultimate Written Premiums</t>
  </si>
  <si>
    <t>Notes:</t>
  </si>
  <si>
    <t>Graph Data:</t>
  </si>
  <si>
    <t>Year</t>
  </si>
  <si>
    <t>Burden</t>
  </si>
  <si>
    <t>PY 03</t>
  </si>
  <si>
    <t>PY 02</t>
  </si>
  <si>
    <t>PY 01</t>
  </si>
  <si>
    <t>PY 00</t>
  </si>
  <si>
    <t>PY 99</t>
  </si>
  <si>
    <t>PY 98</t>
  </si>
  <si>
    <t>PY 97</t>
  </si>
  <si>
    <t>PY 96</t>
  </si>
  <si>
    <t>PY 95</t>
  </si>
  <si>
    <t>Incremental Collected Premium Cash Flows</t>
  </si>
  <si>
    <t>All written premiums are collected.</t>
  </si>
  <si>
    <t>place in footnote.</t>
  </si>
  <si>
    <t>Cash flows occur at midpoint of quarter.</t>
  </si>
  <si>
    <t>Discounted</t>
  </si>
  <si>
    <t>Nominal</t>
  </si>
  <si>
    <t>at Rate of</t>
  </si>
  <si>
    <t>Quarter</t>
  </si>
  <si>
    <t>Pattern</t>
  </si>
  <si>
    <t>Premium Discount Factors</t>
  </si>
  <si>
    <t>Interest Rate</t>
  </si>
  <si>
    <t>Total</t>
  </si>
  <si>
    <t xml:space="preserve"> </t>
  </si>
  <si>
    <t>Incremental Paid Loss Cash Flows</t>
  </si>
  <si>
    <t/>
  </si>
  <si>
    <t>Paid Loss Discount Factors</t>
  </si>
  <si>
    <t>Net Present Value Calculation of the Residual Market Burden</t>
  </si>
  <si>
    <t>Sample Calculation for:</t>
  </si>
  <si>
    <t>Cash In</t>
  </si>
  <si>
    <t>Premiums Collected</t>
  </si>
  <si>
    <t>Premium Collection Discount Factor</t>
  </si>
  <si>
    <t>Discounted Collected Premium [ = (1) x (2)]</t>
  </si>
  <si>
    <t>Cash Out</t>
  </si>
  <si>
    <t>Loss Ratio</t>
  </si>
  <si>
    <t>Paid Loss Discount Factor</t>
  </si>
  <si>
    <t>Discounted Paid Losses [ = (4) x (5)]</t>
  </si>
  <si>
    <t>Expense Ratio</t>
  </si>
  <si>
    <t>(8)</t>
  </si>
  <si>
    <t>Discounted Expenses [ = (2) x (7)]</t>
  </si>
  <si>
    <t>(9)</t>
  </si>
  <si>
    <t>Discounted Operating Result per $1 Residual</t>
  </si>
  <si>
    <t>Market Premium [ = (3) - (6) - (8)]</t>
  </si>
  <si>
    <t>(10)</t>
  </si>
  <si>
    <t>Leveraging Factor</t>
  </si>
  <si>
    <t>(11)</t>
  </si>
  <si>
    <t>Discounted Burden [= -1.000 x (9) x (10)]</t>
  </si>
  <si>
    <t>Assumes no bad debt (all written premium is collected).</t>
  </si>
  <si>
    <t>From Exhibit 4</t>
  </si>
  <si>
    <t>(4),(7),(10)</t>
  </si>
  <si>
    <t>From Exhibit 2</t>
  </si>
  <si>
    <t>From Exhibit 5</t>
  </si>
  <si>
    <t>([Discounted Paid Losses] + [Discounted Expenses] - [Discounted Collected Premium]) x ([Pool Premium]/[Voluntary Assessable Premium]) x [VDAC Adjustment Factor]</t>
  </si>
  <si>
    <t>VDAC Factor</t>
  </si>
  <si>
    <t>Net Present Value of Residual Market Burden</t>
  </si>
  <si>
    <t>Inputs for sample calculation</t>
  </si>
  <si>
    <t>Calculated Burden</t>
  </si>
  <si>
    <t>Using Data Evaluated as of</t>
  </si>
  <si>
    <t>Burden Calculation</t>
  </si>
  <si>
    <t>Enter Inputs</t>
  </si>
  <si>
    <t>Projected Massachusetts Workers' Compensation</t>
  </si>
  <si>
    <t>Residual Market Burden</t>
  </si>
  <si>
    <t>[ = (3) - (6) - (8)]</t>
  </si>
  <si>
    <t>(7), (10)</t>
  </si>
  <si>
    <t xml:space="preserve">Discounted Operating Result per $1 Residual Market Premium </t>
  </si>
  <si>
    <t>Discounted Paid Loss Ratio [ = (4) x (5)]</t>
  </si>
  <si>
    <t>Discounted Expense Ratio [ = (2) x (7)]</t>
  </si>
  <si>
    <t>Discounted Burden = - (Discounted Operating Result x Leveraging Factor)</t>
  </si>
  <si>
    <t>[ = Discounted Collected Premium - Discounted Paid Loss Ratio - Discounted Expense Ratio]</t>
  </si>
  <si>
    <t>[ = (Servicing Carrier Written Premium / Voluntary Assessable Premium)  x  VDAC Factor]</t>
  </si>
  <si>
    <t>Notes</t>
  </si>
  <si>
    <t>PY 04</t>
  </si>
  <si>
    <t>Special Bulletin being issued:</t>
  </si>
  <si>
    <t>PY 94</t>
  </si>
  <si>
    <t>[(2)+(3)-1.00] x (6)</t>
  </si>
  <si>
    <t>PY 05</t>
  </si>
  <si>
    <t>A VDAC Factor greater than one adjusts for over-assignment of residual market premium to the VDAC carriers</t>
  </si>
  <si>
    <t>of residual market premium to the VDAC carriers relative to their final participation ratios.</t>
  </si>
  <si>
    <t>relative to their final participation ratios.  Similarly, a VDAC factor less than one adjusts for under-assignment</t>
  </si>
  <si>
    <t>x Development Factor</t>
  </si>
  <si>
    <t>= Estimated Ultimate Written Premium</t>
  </si>
  <si>
    <t>Premium</t>
  </si>
  <si>
    <t>Losses</t>
  </si>
  <si>
    <t>Booked Loss Ratio</t>
  </si>
  <si>
    <t>Expenses</t>
  </si>
  <si>
    <t>= Total Loss Ratio</t>
  </si>
  <si>
    <t xml:space="preserve">CY 2005 Assessment Base </t>
  </si>
  <si>
    <t>Servicing Carrier Written Premium</t>
  </si>
  <si>
    <t>Net Result</t>
  </si>
  <si>
    <t>+ Other Expenses</t>
  </si>
  <si>
    <t>+ Expense Constant</t>
  </si>
  <si>
    <t>(1) x (2)</t>
  </si>
  <si>
    <t>Estimated Ultimate Written Premium</t>
  </si>
  <si>
    <t>7/1/04, SCA = 18.8%</t>
  </si>
  <si>
    <t>10/1/02, SCA = 22.2%</t>
  </si>
  <si>
    <t>Residual Market Burden = (Ult WP / CY Assessment Base) x VDAC Factor x (Loss Ratio + Expense Ratio - 1.00)</t>
  </si>
  <si>
    <t>- Estimated Ultimate Losses</t>
  </si>
  <si>
    <t>PY96</t>
  </si>
  <si>
    <t>PY97</t>
  </si>
  <si>
    <t>PY99</t>
  </si>
  <si>
    <t>PY00</t>
  </si>
  <si>
    <t>PY01</t>
  </si>
  <si>
    <t>PY02</t>
  </si>
  <si>
    <t>PY03</t>
  </si>
  <si>
    <t>PY04</t>
  </si>
  <si>
    <t>PY05</t>
  </si>
  <si>
    <t>PREMIUM</t>
  </si>
  <si>
    <t>x Dev. Factor</t>
  </si>
  <si>
    <t>LOSSES</t>
  </si>
  <si>
    <t>Paid Losses</t>
  </si>
  <si>
    <t>EXPENSES</t>
  </si>
  <si>
    <t>Servicing Carrier Allowance</t>
  </si>
  <si>
    <t>+ Producer Fees</t>
  </si>
  <si>
    <t>+ ALAE Reserve</t>
  </si>
  <si>
    <t>= Total Expenses</t>
  </si>
  <si>
    <t>+ Admin. Expenses</t>
  </si>
  <si>
    <t>S.C. Allowance</t>
  </si>
  <si>
    <t>MA QUARTERLY EXPENSE RATIOS - BY POLICY YEAR</t>
  </si>
  <si>
    <t>Quarter End</t>
  </si>
  <si>
    <t>Gross Written Premiums</t>
  </si>
  <si>
    <t>Uncollectible Premiums</t>
  </si>
  <si>
    <t>Net Earned Premium</t>
  </si>
  <si>
    <t>Total Paid Losses</t>
  </si>
  <si>
    <t>Current Loss Ratio</t>
  </si>
  <si>
    <t>SCA Ratio</t>
  </si>
  <si>
    <t>Administrative Expense</t>
  </si>
  <si>
    <t>Admin Ratio</t>
  </si>
  <si>
    <t>Producer Fees</t>
  </si>
  <si>
    <t>Producer Ratio</t>
  </si>
  <si>
    <t>Miscellaneous Expenses</t>
  </si>
  <si>
    <t>Misc Exp Ratio</t>
  </si>
  <si>
    <t>Interest Income</t>
  </si>
  <si>
    <t>Interest Inc Ratio</t>
  </si>
  <si>
    <t>Cash Distribution</t>
  </si>
  <si>
    <t>Actual Loss Ratio</t>
  </si>
  <si>
    <t>= Est. Ult W.P.</t>
  </si>
  <si>
    <t>- Interest Income</t>
  </si>
  <si>
    <t>+ Expense Const.</t>
  </si>
  <si>
    <t>Expense Constant</t>
  </si>
  <si>
    <t>Exp Const Ratio</t>
  </si>
  <si>
    <t>ALAE Reserve</t>
  </si>
  <si>
    <t>ALAE Reserve Ratio</t>
  </si>
  <si>
    <t>= Net Result</t>
  </si>
  <si>
    <t>= Difference</t>
  </si>
  <si>
    <t>Servicing Carrier Allowance + EC</t>
  </si>
  <si>
    <t>Prev Unearned Premium Reserve</t>
  </si>
  <si>
    <t>Total Premium</t>
  </si>
  <si>
    <t>Current Unearned Premium Reserve</t>
  </si>
  <si>
    <t>NCCI's Distribution Amount</t>
  </si>
  <si>
    <t>My Calculated Cash Distribution</t>
  </si>
  <si>
    <t>Difference</t>
  </si>
  <si>
    <t>NET OP GAIN/(LOSS)</t>
  </si>
  <si>
    <t>VDAC FACTOR</t>
  </si>
  <si>
    <t>CY Assessable Base</t>
  </si>
  <si>
    <t>RESIDUAL MARKET UNDERWRITING RESULTS</t>
  </si>
  <si>
    <t>Est. Ultimate W.P.</t>
  </si>
  <si>
    <t>Old Method Burden</t>
  </si>
  <si>
    <t>PY06</t>
  </si>
  <si>
    <t>PY 06</t>
  </si>
  <si>
    <t>NCCI's non-VDAC Burdens</t>
  </si>
  <si>
    <t>Diff.</t>
  </si>
  <si>
    <t>EST. R.M. BURDEN *</t>
  </si>
  <si>
    <t>Time Interval</t>
  </si>
  <si>
    <t>From</t>
  </si>
  <si>
    <t>To</t>
  </si>
  <si>
    <t>3/21/08 - Claudia corrected the table so the discount factors are not fixed.</t>
  </si>
  <si>
    <t>NCCI's Net Gain/(Loss)</t>
  </si>
  <si>
    <t>= Total Expense Ratio (Calculated)</t>
  </si>
  <si>
    <t>(3a)</t>
  </si>
  <si>
    <t>(3b)</t>
  </si>
  <si>
    <t>= Total Expense Ratio (NCCI's)</t>
  </si>
  <si>
    <t>ok</t>
  </si>
  <si>
    <t>(1) x (3b)</t>
  </si>
  <si>
    <t>(1)/(5) x (6) x [(2)+(3b)-1.00]</t>
  </si>
  <si>
    <t>PY07</t>
  </si>
  <si>
    <t>= NCCI's Expense Ratio</t>
  </si>
  <si>
    <t>= Calculated Expense Ratio</t>
  </si>
  <si>
    <t>PY 07</t>
  </si>
  <si>
    <t>Residual Market Loss Ratio</t>
  </si>
  <si>
    <t>Net Written Premiums</t>
  </si>
  <si>
    <t>signs reversed</t>
  </si>
  <si>
    <t>PY 08</t>
  </si>
  <si>
    <t>MA Assess Reimb</t>
  </si>
  <si>
    <t>PY08</t>
  </si>
  <si>
    <t>S.C. Net Writ. Prem.</t>
  </si>
  <si>
    <t>Cur Unearned Prem Res</t>
  </si>
  <si>
    <t>+ Misc. Expenses (w/pd ALAE)</t>
  </si>
  <si>
    <t>+ Other Expenses &amp; Reimb</t>
  </si>
  <si>
    <t>PY98</t>
  </si>
  <si>
    <t>PY09</t>
  </si>
  <si>
    <t>Booked Loss Ratio (NCCI's)</t>
  </si>
  <si>
    <t>= Calculated Net Operating Gain/(Loss)</t>
  </si>
  <si>
    <t>Policy</t>
  </si>
  <si>
    <t>= (3) * (4)</t>
  </si>
  <si>
    <t>PY 09</t>
  </si>
  <si>
    <t>4/1/10 - Tony updated  table to reflect latest rate filing.</t>
  </si>
  <si>
    <t>4/1/10 - Tony replaced red numbers with figures from latest rate filing.</t>
  </si>
  <si>
    <t>{=table(,c7)}</t>
  </si>
  <si>
    <t>PY10</t>
  </si>
  <si>
    <t>done</t>
  </si>
  <si>
    <t>Est. Total Losses plus Expenses</t>
  </si>
  <si>
    <t>= % Difference</t>
  </si>
  <si>
    <t>=((5)-(8))/(5)  - (2)</t>
  </si>
  <si>
    <t>- Estimated Total Expenses (NCCI's)</t>
  </si>
  <si>
    <t>+ ALAE Load</t>
  </si>
  <si>
    <t>Average SCA (+ Reimbursed Assessments)</t>
  </si>
  <si>
    <t>exactly</t>
  </si>
  <si>
    <t>PY 10</t>
  </si>
  <si>
    <t>PY11</t>
  </si>
  <si>
    <t>(Same as net earned in Dev Tri Rpt?)</t>
  </si>
  <si>
    <t>{=table(,c8)}</t>
  </si>
  <si>
    <t>The chart below includes, solely for informational purposes, estimates of the net present values of the residual market burdens using various discount rate assumptions.</t>
  </si>
  <si>
    <t xml:space="preserve">Premium and loss cash flows used to calculate the net present value of residual market burdens are consistent with premium development patterns </t>
  </si>
  <si>
    <t>8/4/11 - Chris updated to expand Exhibit 4 to 12%</t>
  </si>
  <si>
    <t>Enter an Interest Rate between 0% and 12%.</t>
  </si>
  <si>
    <t>Ratio of Servicing Carrier 
Written Premium to 
Voluntary Assessable Premium</t>
  </si>
  <si>
    <t>PY12</t>
  </si>
  <si>
    <t>Liberty and NCCI are working out a discrepency.</t>
  </si>
  <si>
    <t>Combined Ratio</t>
  </si>
  <si>
    <t>less Est Total Losses</t>
  </si>
  <si>
    <t>less Est. Total Expenses</t>
  </si>
  <si>
    <t>PY 11</t>
  </si>
  <si>
    <t>NCCI rounds at two different points in these calculations and we do not.</t>
  </si>
  <si>
    <t>Our results can therefore be different than NCCIs published calculations.</t>
  </si>
  <si>
    <t>Note:</t>
  </si>
  <si>
    <t>1/11/13 - Jess updated table to reflect 2012 rate filing</t>
  </si>
  <si>
    <t>and paid loss development patterns in the most recent rate filing.</t>
  </si>
  <si>
    <t>PY 12</t>
  </si>
  <si>
    <t>4/4/13 sent email to Donte</t>
  </si>
  <si>
    <t>Per his response, all have to do with Liberty's PY12 SCA difficulties.</t>
  </si>
  <si>
    <t>He's asking when they are going to fix these…</t>
  </si>
  <si>
    <t>PY13</t>
  </si>
  <si>
    <t>2/4/14 - Christina Vazakas updated table to reflect 2014 rate filing.</t>
  </si>
  <si>
    <t>2/4/14 - Christina Vazakas updated to reflect 2014 rate filing.</t>
  </si>
  <si>
    <t>PY 13</t>
  </si>
  <si>
    <t>as of 3/31/2014</t>
  </si>
  <si>
    <t>- (NCCI's Net Result)</t>
  </si>
  <si>
    <t>PY 14</t>
  </si>
  <si>
    <t>1/26/16 - Christina updated to reflect 2016 rate filing.</t>
  </si>
  <si>
    <t>n/a</t>
  </si>
  <si>
    <t>PY 15</t>
  </si>
  <si>
    <t>4Q92</t>
  </si>
  <si>
    <t>4Q93</t>
  </si>
  <si>
    <t>4Q94</t>
  </si>
  <si>
    <t>4Q95</t>
  </si>
  <si>
    <t>4Q96</t>
  </si>
  <si>
    <t>4Q97</t>
  </si>
  <si>
    <t>4Q98</t>
  </si>
  <si>
    <t>4Q99</t>
  </si>
  <si>
    <t>4Q00</t>
  </si>
  <si>
    <t>4Q01</t>
  </si>
  <si>
    <t>4Q02</t>
  </si>
  <si>
    <t>4Q03</t>
  </si>
  <si>
    <t>4Q04</t>
  </si>
  <si>
    <t>4Q05</t>
  </si>
  <si>
    <t>4Q
06</t>
  </si>
  <si>
    <t>4Q
07</t>
  </si>
  <si>
    <t>4Q
08</t>
  </si>
  <si>
    <t>4Q
09</t>
  </si>
  <si>
    <t>4Q
10</t>
  </si>
  <si>
    <t>1Q
12</t>
  </si>
  <si>
    <t>2Q
12</t>
  </si>
  <si>
    <t>3Q
12</t>
  </si>
  <si>
    <t>4Q
12</t>
  </si>
  <si>
    <t>1Q
13</t>
  </si>
  <si>
    <t>2Q
13</t>
  </si>
  <si>
    <t>3Q
13</t>
  </si>
  <si>
    <t>4Q
13</t>
  </si>
  <si>
    <t>1Q
14</t>
  </si>
  <si>
    <t>2Q
14</t>
  </si>
  <si>
    <t>3Q
14</t>
  </si>
  <si>
    <t>4Q
14</t>
  </si>
  <si>
    <t>1Q
15</t>
  </si>
  <si>
    <t>2Q
15</t>
  </si>
  <si>
    <t>3Q
15</t>
  </si>
  <si>
    <t>4Q
15</t>
  </si>
  <si>
    <t>1Q
16</t>
  </si>
  <si>
    <t>2Q
16</t>
  </si>
  <si>
    <t>Policy 
Year</t>
  </si>
  <si>
    <t>4Q
11</t>
  </si>
  <si>
    <t>HISTORY OF BOOKED LOSS RATIOS</t>
  </si>
  <si>
    <t>3Q
16</t>
  </si>
  <si>
    <t>FORMATTED TO SHOW HIGHS (RED), MID-HIGHS (ORANGE), MID-LOWS (YELLOWS), AND LOWS (GREEN) BY POLICY YEAR</t>
  </si>
  <si>
    <t>PY 16</t>
  </si>
  <si>
    <t>4Q
16</t>
  </si>
  <si>
    <t>1Q
17</t>
  </si>
  <si>
    <t>2Q
17</t>
  </si>
  <si>
    <t>1/19/18 - Tony updated to reflect 2018 rate filing.</t>
  </si>
  <si>
    <t>3Q 
17</t>
  </si>
  <si>
    <t>4Q
17</t>
  </si>
  <si>
    <t>1Q
18</t>
  </si>
  <si>
    <t>Do no type year in here -links to Ex4 tax, makes data table work</t>
  </si>
  <si>
    <t>""</t>
  </si>
  <si>
    <t>Ok to type in here, but not on Summary tab</t>
  </si>
  <si>
    <t>Final 2016</t>
  </si>
  <si>
    <t>Final 2017</t>
  </si>
  <si>
    <t>1/29/20 - Tony updated to reflect 2020 rate filing.</t>
  </si>
  <si>
    <t>PY 17</t>
  </si>
  <si>
    <t>PY 18</t>
  </si>
  <si>
    <t>PY 19</t>
  </si>
  <si>
    <t>** The data table on Exhibit 4 is set up with B7 = cell D27.</t>
  </si>
  <si>
    <t>Then select B7 to O17 and click on Data / What-If / Data Table</t>
  </si>
  <si>
    <t>Row Input Cell = $D$26 (Interest Rate)</t>
  </si>
  <si>
    <t>Column Input Cell = $D$25 (Policy Year)</t>
  </si>
  <si>
    <t>Final 2018</t>
  </si>
  <si>
    <t>PY 20</t>
  </si>
  <si>
    <t>Round to 6 decimal points to get burden numbers to match.</t>
  </si>
  <si>
    <t>Final 2019</t>
  </si>
  <si>
    <t>PY 21</t>
  </si>
  <si>
    <t>4/25/22 - Tony updated to reflect 2022 rate filing.</t>
  </si>
  <si>
    <t>Final 2020</t>
  </si>
  <si>
    <t>2/22/23 - Tony updated to reflect 2023 rate filing.</t>
  </si>
  <si>
    <t>PY 22</t>
  </si>
  <si>
    <t>Final 2021</t>
  </si>
  <si>
    <t>1/30/24 - Tony updated to reflect 2024 rate filing.</t>
  </si>
  <si>
    <t xml:space="preserve">1/30/24 - Tony updated to reflect 2024 rate filing. - Christina reviewed </t>
  </si>
  <si>
    <t>Final 2022</t>
  </si>
  <si>
    <t>1/29/25 - Christina updated to reflect 2025 rate filing.</t>
  </si>
  <si>
    <t>Nominal Pattern is Combined Loss Flow Estimated from Financial Aggregate Data from Section VII-C Exhibit 5, Page 1, Col. (4) of 7/1/2025 filing.</t>
  </si>
  <si>
    <r>
      <rPr>
        <sz val="10"/>
        <color rgb="FFFF0000"/>
        <rFont val="Verdana"/>
        <family val="2"/>
      </rPr>
      <t xml:space="preserve">  Nominal Pattern is Selected Net Premium flow from VII-G Exhibit 1, Col (12) of 7/1/2025 filing.</t>
    </r>
    <r>
      <rPr>
        <sz val="10"/>
        <color indexed="10"/>
        <rFont val="Verdana"/>
        <family val="2"/>
      </rPr>
      <t xml:space="preserve"> </t>
    </r>
    <r>
      <rPr>
        <sz val="10"/>
        <color rgb="FFFF0000"/>
        <rFont val="Verdana"/>
        <family val="2"/>
      </rPr>
      <t>Quarter 4/1/25-6/30/25 in filing = Quarter 0 in Burden Calculation.</t>
    </r>
  </si>
  <si>
    <t>Nominal Pattern is Selected Net Premium flow from VII-G Exhibit 1, Col (12) of 7/1/2025 filing. Quarter 4/1/2025-6/30/2025 in filing = Quarter 0 in Burden Calculation.</t>
  </si>
  <si>
    <t>PY 23</t>
  </si>
  <si>
    <t>PY 24</t>
  </si>
  <si>
    <t>Applying the Final 2017 VDAC Factor of 1.0090 caused no change to the 2017 Estimated Pool Burden.</t>
  </si>
  <si>
    <t>Final 2023</t>
  </si>
  <si>
    <t>Applying the Final 2018 VDAC Factor of 0.9501 caused the 2018 Estimated Pool Burden to decrease from 2.23% to 2.12%.</t>
  </si>
  <si>
    <t>Applying the Final 2019 VDAC Factor of 0.9735 caused the 2019 Estimated Pool Burden to decrease from 1.17% to 1.14%.</t>
  </si>
  <si>
    <t>Applying the Final 2020 VDAC Factor of 0.9236 caused the 2020 Estimated Pool Burden to decrease from 0.26% to 0.24%.</t>
  </si>
  <si>
    <t>Applying the Final 2023 VDAC Factor of 0.9761 caused the 2023 Estimated Pool Burden to decrease from 1.86% to 1.81%.</t>
  </si>
  <si>
    <t>A VDAC Reapportionment has not yet been performed on PY 2024 or PY 2025, so a factor of 1.00 is being used.</t>
  </si>
  <si>
    <t>PY 25</t>
  </si>
  <si>
    <t>07-26</t>
  </si>
  <si>
    <t>Applying the Final 2016 VDAC Factor of 0.9731 caused the 2016 Estimated Pool Burden to increase from -0.53% to -0.52%.</t>
  </si>
  <si>
    <t>Applying the Final 2021 VDAC Factor of 1.0256 caused the 2021 Estimated Pool Burden to increase from 5.28% to 5.42%.</t>
  </si>
  <si>
    <t>Applying the Final 2022 VDAC Factor of 0.9786 caused the 2022 Estimated Pool Burden to decrease from 2.07% to 2.03%.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</si>
</sst>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_);_(* \(#,##0\);_(* &quot;-&quot;??_);_(@_)"/>
    <numFmt numFmtId="167" formatCode="0.0%"/>
    <numFmt numFmtId="168" formatCode="m/yy\ "/>
    <numFmt numFmtId="169" formatCode="mm/yy"/>
    <numFmt numFmtId="170" formatCode="&quot;Discount Factor&quot;"/>
    <numFmt numFmtId="171" formatCode="0.000000"/>
    <numFmt numFmtId="172" formatCode="_(* #,##0.000_);_(* \(#,##0.000\);_(* &quot;-&quot;??_);_(@_)"/>
    <numFmt numFmtId="173" formatCode="0.0000000"/>
    <numFmt numFmtId="174" formatCode="&quot;Discounted Burden&quot;"/>
    <numFmt numFmtId="175" formatCode="#,##0.0%;\(#,##0.0%\)"/>
    <numFmt numFmtId="176" formatCode="&quot;Year&quot;"/>
    <numFmt numFmtId="177" formatCode="_(* #,##0.0000_);_(* \(#,##0.0000\);_(* &quot;-&quot;??_);_(@_)"/>
    <numFmt numFmtId="178" formatCode="_(&quot;$&quot;* #,##0_);_(&quot;$&quot;* \(#,##0\);_(&quot;$&quot;* &quot;-&quot;??_);_(@_)"/>
    <numFmt numFmtId="179" formatCode="dd\-mmm\-yy"/>
    <numFmt numFmtId="180" formatCode="[$-409]d\-mmm\-yy;@"/>
    <numFmt numFmtId="181" formatCode="mm/dd/yy;@"/>
    <numFmt numFmtId="182" formatCode="_(* #,##0.00000_);_(* \(#,##0.00000\);_(* &quot;-&quot;??_);_(@_)"/>
    <numFmt numFmtId="183" formatCode="0.000%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Arial"/>
      <family val="2"/>
    </font>
    <font>
      <sz val="10"/>
      <color indexed="12"/>
      <name val="Verdana"/>
      <family val="2"/>
    </font>
    <font>
      <b/>
      <sz val="10"/>
      <name val="Verdana"/>
      <family val="2"/>
    </font>
    <font>
      <b/>
      <sz val="8"/>
      <color indexed="81"/>
      <name val="Verdana"/>
      <family val="2"/>
    </font>
    <font>
      <sz val="8"/>
      <color indexed="81"/>
      <name val="Verdana"/>
      <family val="2"/>
    </font>
    <font>
      <sz val="8"/>
      <name val="Verdana"/>
      <family val="2"/>
    </font>
    <font>
      <sz val="12"/>
      <name val="Verdana"/>
      <family val="2"/>
    </font>
    <font>
      <sz val="10"/>
      <color indexed="10"/>
      <name val="Verdana"/>
      <family val="2"/>
    </font>
    <font>
      <u/>
      <sz val="10"/>
      <name val="Verdana"/>
      <family val="2"/>
    </font>
    <font>
      <u/>
      <sz val="10"/>
      <color indexed="12"/>
      <name val="Verdana"/>
      <family val="2"/>
    </font>
    <font>
      <u/>
      <sz val="10"/>
      <color indexed="10"/>
      <name val="Verdana"/>
      <family val="2"/>
    </font>
    <font>
      <b/>
      <sz val="10"/>
      <color indexed="10"/>
      <name val="Verdana"/>
      <family val="2"/>
    </font>
    <font>
      <b/>
      <sz val="9.5"/>
      <color indexed="10"/>
      <name val="Verdana"/>
      <family val="2"/>
    </font>
    <font>
      <b/>
      <sz val="10"/>
      <color indexed="12"/>
      <name val="Verdana"/>
      <family val="2"/>
    </font>
    <font>
      <b/>
      <sz val="12"/>
      <name val="Verdana"/>
      <family val="2"/>
    </font>
    <font>
      <sz val="8.5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53"/>
      <name val="Calibri"/>
      <family val="2"/>
    </font>
    <font>
      <sz val="10"/>
      <color indexed="53"/>
      <name val="Calibri"/>
      <family val="2"/>
    </font>
    <font>
      <sz val="10"/>
      <color indexed="62"/>
      <name val="Calibri"/>
      <family val="2"/>
    </font>
    <font>
      <b/>
      <sz val="10"/>
      <color indexed="62"/>
      <name val="Calibri"/>
      <family val="2"/>
    </font>
    <font>
      <b/>
      <sz val="14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10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trike/>
      <sz val="10"/>
      <name val="Verdana"/>
      <family val="2"/>
    </font>
    <font>
      <i/>
      <sz val="10"/>
      <name val="Calibri"/>
      <family val="2"/>
    </font>
    <font>
      <sz val="10"/>
      <color rgb="FF000000"/>
      <name val="Arial"/>
      <family val="2"/>
    </font>
    <font>
      <sz val="10"/>
      <color theme="4"/>
      <name val="Calibri"/>
      <family val="2"/>
      <scheme val="minor"/>
    </font>
    <font>
      <sz val="10"/>
      <color rgb="FFFF0000"/>
      <name val="Verdana"/>
      <family val="2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quotePrefix="1" applyFont="1" applyAlignment="1">
      <alignment horizontal="center"/>
    </xf>
    <xf numFmtId="167" fontId="3" fillId="0" borderId="0" xfId="5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7" fontId="13" fillId="0" borderId="0" xfId="5" applyNumberFormat="1" applyFont="1" applyFill="1" applyBorder="1" applyAlignment="1">
      <alignment horizontal="center"/>
    </xf>
    <xf numFmtId="9" fontId="14" fillId="0" borderId="0" xfId="5" applyFont="1" applyFill="1" applyBorder="1" applyAlignment="1">
      <alignment horizontal="center"/>
    </xf>
    <xf numFmtId="165" fontId="11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0" fontId="3" fillId="0" borderId="0" xfId="5" applyNumberFormat="1" applyFont="1" applyFill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9" fontId="3" fillId="0" borderId="16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3" fillId="0" borderId="0" xfId="5" applyNumberFormat="1" applyFont="1" applyFill="1" applyBorder="1"/>
    <xf numFmtId="165" fontId="10" fillId="0" borderId="0" xfId="0" applyNumberFormat="1" applyFont="1" applyAlignment="1">
      <alignment horizontal="left"/>
    </xf>
    <xf numFmtId="165" fontId="3" fillId="0" borderId="0" xfId="0" applyNumberFormat="1" applyFont="1"/>
    <xf numFmtId="165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165" fontId="3" fillId="0" borderId="0" xfId="0" applyNumberFormat="1" applyFont="1" applyAlignment="1">
      <alignment horizontal="center"/>
    </xf>
    <xf numFmtId="165" fontId="12" fillId="0" borderId="0" xfId="5" applyNumberFormat="1" applyFont="1" applyFill="1" applyBorder="1" applyAlignment="1">
      <alignment horizontal="center"/>
    </xf>
    <xf numFmtId="9" fontId="11" fillId="0" borderId="0" xfId="5" applyFont="1" applyFill="1" applyBorder="1" applyAlignment="1">
      <alignment horizontal="center"/>
    </xf>
    <xf numFmtId="167" fontId="12" fillId="0" borderId="0" xfId="5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71" fontId="11" fillId="0" borderId="0" xfId="5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70" fontId="3" fillId="0" borderId="16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0" borderId="17" xfId="0" applyFont="1" applyBorder="1"/>
    <xf numFmtId="164" fontId="1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9" fontId="15" fillId="0" borderId="0" xfId="5" applyFont="1" applyFill="1" applyBorder="1" applyAlignment="1">
      <alignment horizontal="center"/>
    </xf>
    <xf numFmtId="9" fontId="6" fillId="0" borderId="0" xfId="5" applyFont="1" applyFill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Continuous"/>
    </xf>
    <xf numFmtId="174" fontId="6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6" fillId="0" borderId="0" xfId="0" applyFont="1" applyAlignment="1">
      <alignment horizontal="center"/>
    </xf>
    <xf numFmtId="167" fontId="3" fillId="0" borderId="0" xfId="5" applyNumberFormat="1" applyFont="1" applyFill="1" applyBorder="1"/>
    <xf numFmtId="0" fontId="9" fillId="0" borderId="0" xfId="0" quotePrefix="1" applyFont="1" applyAlignment="1">
      <alignment horizontal="left"/>
    </xf>
    <xf numFmtId="175" fontId="3" fillId="0" borderId="0" xfId="5" applyNumberFormat="1" applyFont="1"/>
    <xf numFmtId="0" fontId="3" fillId="0" borderId="0" xfId="0" applyFont="1" applyProtection="1">
      <protection locked="0"/>
    </xf>
    <xf numFmtId="0" fontId="18" fillId="0" borderId="0" xfId="0" applyFont="1"/>
    <xf numFmtId="164" fontId="3" fillId="0" borderId="0" xfId="0" applyNumberFormat="1" applyFont="1" applyAlignment="1">
      <alignment horizontal="center" vertical="center"/>
    </xf>
    <xf numFmtId="171" fontId="3" fillId="0" borderId="0" xfId="5" applyNumberFormat="1" applyFont="1" applyFill="1" applyBorder="1" applyAlignment="1">
      <alignment horizontal="center" vertical="center"/>
    </xf>
    <xf numFmtId="0" fontId="17" fillId="2" borderId="16" xfId="0" applyFont="1" applyFill="1" applyBorder="1" applyAlignment="1" applyProtection="1">
      <alignment horizontal="center"/>
      <protection locked="0"/>
    </xf>
    <xf numFmtId="167" fontId="17" fillId="2" borderId="16" xfId="5" applyNumberFormat="1" applyFont="1" applyFill="1" applyBorder="1" applyAlignment="1" applyProtection="1">
      <alignment horizontal="center"/>
      <protection locked="0"/>
    </xf>
    <xf numFmtId="10" fontId="17" fillId="2" borderId="16" xfId="0" applyNumberFormat="1" applyFont="1" applyFill="1" applyBorder="1" applyAlignment="1" applyProtection="1">
      <alignment horizontal="center"/>
      <protection locked="0"/>
    </xf>
    <xf numFmtId="2" fontId="17" fillId="2" borderId="16" xfId="5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6" fillId="0" borderId="1" xfId="0" applyFont="1" applyBorder="1"/>
    <xf numFmtId="0" fontId="17" fillId="0" borderId="0" xfId="0" applyFont="1"/>
    <xf numFmtId="0" fontId="19" fillId="0" borderId="0" xfId="0" applyFont="1"/>
    <xf numFmtId="2" fontId="19" fillId="0" borderId="0" xfId="0" applyNumberFormat="1" applyFont="1"/>
    <xf numFmtId="2" fontId="17" fillId="0" borderId="0" xfId="0" applyNumberFormat="1" applyFont="1"/>
    <xf numFmtId="165" fontId="19" fillId="0" borderId="0" xfId="0" applyNumberFormat="1" applyFont="1"/>
    <xf numFmtId="3" fontId="19" fillId="0" borderId="0" xfId="0" applyNumberFormat="1" applyFont="1"/>
    <xf numFmtId="10" fontId="6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17" xfId="0" applyFont="1" applyBorder="1"/>
    <xf numFmtId="1" fontId="3" fillId="0" borderId="0" xfId="5" applyNumberFormat="1" applyFont="1" applyFill="1" applyBorder="1" applyAlignment="1">
      <alignment horizontal="center" vertical="center"/>
    </xf>
    <xf numFmtId="181" fontId="24" fillId="0" borderId="0" xfId="0" applyNumberFormat="1" applyFont="1"/>
    <xf numFmtId="0" fontId="25" fillId="0" borderId="0" xfId="0" applyFont="1" applyAlignment="1">
      <alignment horizontal="left"/>
    </xf>
    <xf numFmtId="43" fontId="26" fillId="0" borderId="0" xfId="1" applyFont="1"/>
    <xf numFmtId="43" fontId="26" fillId="0" borderId="0" xfId="1" applyFont="1" applyAlignment="1">
      <alignment horizontal="center"/>
    </xf>
    <xf numFmtId="0" fontId="26" fillId="0" borderId="0" xfId="0" applyFont="1"/>
    <xf numFmtId="0" fontId="27" fillId="4" borderId="39" xfId="4" applyFont="1" applyFill="1" applyBorder="1" applyAlignment="1">
      <alignment horizontal="center" wrapText="1"/>
    </xf>
    <xf numFmtId="43" fontId="27" fillId="4" borderId="39" xfId="1" applyFont="1" applyFill="1" applyBorder="1" applyAlignment="1">
      <alignment horizontal="center" wrapText="1"/>
    </xf>
    <xf numFmtId="15" fontId="27" fillId="0" borderId="40" xfId="4" applyNumberFormat="1" applyFont="1" applyBorder="1" applyAlignment="1">
      <alignment horizontal="center" wrapText="1"/>
    </xf>
    <xf numFmtId="43" fontId="27" fillId="0" borderId="40" xfId="1" applyFont="1" applyFill="1" applyBorder="1" applyAlignment="1">
      <alignment horizontal="center" wrapText="1"/>
    </xf>
    <xf numFmtId="43" fontId="27" fillId="0" borderId="40" xfId="1" applyFont="1" applyFill="1" applyBorder="1" applyAlignment="1">
      <alignment horizontal="right" wrapText="1"/>
    </xf>
    <xf numFmtId="43" fontId="27" fillId="0" borderId="41" xfId="1" applyFont="1" applyFill="1" applyBorder="1" applyAlignment="1">
      <alignment horizontal="right" wrapText="1"/>
    </xf>
    <xf numFmtId="43" fontId="26" fillId="0" borderId="0" xfId="0" applyNumberFormat="1" applyFont="1"/>
    <xf numFmtId="15" fontId="27" fillId="0" borderId="41" xfId="4" applyNumberFormat="1" applyFont="1" applyBorder="1" applyAlignment="1">
      <alignment horizontal="center" wrapText="1"/>
    </xf>
    <xf numFmtId="43" fontId="27" fillId="0" borderId="41" xfId="1" applyFont="1" applyFill="1" applyBorder="1" applyAlignment="1">
      <alignment horizontal="center" wrapText="1"/>
    </xf>
    <xf numFmtId="179" fontId="27" fillId="0" borderId="41" xfId="4" applyNumberFormat="1" applyFont="1" applyBorder="1" applyAlignment="1">
      <alignment horizontal="center" wrapText="1"/>
    </xf>
    <xf numFmtId="43" fontId="28" fillId="5" borderId="41" xfId="1" applyFont="1" applyFill="1" applyBorder="1" applyAlignment="1">
      <alignment horizontal="right" wrapText="1"/>
    </xf>
    <xf numFmtId="177" fontId="28" fillId="5" borderId="41" xfId="1" applyNumberFormat="1" applyFont="1" applyFill="1" applyBorder="1" applyAlignment="1">
      <alignment horizontal="right" wrapText="1"/>
    </xf>
    <xf numFmtId="0" fontId="26" fillId="0" borderId="41" xfId="0" applyFont="1" applyBorder="1" applyAlignment="1">
      <alignment horizontal="center"/>
    </xf>
    <xf numFmtId="43" fontId="26" fillId="0" borderId="41" xfId="1" applyFont="1" applyBorder="1"/>
    <xf numFmtId="43" fontId="26" fillId="0" borderId="41" xfId="1" applyFont="1" applyBorder="1" applyAlignment="1">
      <alignment horizontal="center"/>
    </xf>
    <xf numFmtId="43" fontId="28" fillId="0" borderId="41" xfId="1" applyFont="1" applyFill="1" applyBorder="1" applyAlignment="1">
      <alignment horizontal="right" wrapText="1"/>
    </xf>
    <xf numFmtId="0" fontId="26" fillId="0" borderId="0" xfId="0" applyFont="1" applyAlignment="1">
      <alignment horizontal="right"/>
    </xf>
    <xf numFmtId="177" fontId="27" fillId="0" borderId="40" xfId="1" applyNumberFormat="1" applyFont="1" applyFill="1" applyBorder="1" applyAlignment="1">
      <alignment horizontal="center" wrapText="1"/>
    </xf>
    <xf numFmtId="43" fontId="27" fillId="6" borderId="41" xfId="1" applyFont="1" applyFill="1" applyBorder="1" applyAlignment="1">
      <alignment horizontal="center" wrapText="1"/>
    </xf>
    <xf numFmtId="43" fontId="27" fillId="7" borderId="41" xfId="1" applyFont="1" applyFill="1" applyBorder="1" applyAlignment="1">
      <alignment horizontal="right" wrapText="1"/>
    </xf>
    <xf numFmtId="180" fontId="27" fillId="0" borderId="42" xfId="4" applyNumberFormat="1" applyFont="1" applyBorder="1" applyAlignment="1">
      <alignment horizontal="center" wrapText="1"/>
    </xf>
    <xf numFmtId="43" fontId="27" fillId="0" borderId="42" xfId="1" applyFont="1" applyFill="1" applyBorder="1" applyAlignment="1">
      <alignment horizontal="center" wrapText="1"/>
    </xf>
    <xf numFmtId="43" fontId="27" fillId="0" borderId="42" xfId="1" applyFont="1" applyFill="1" applyBorder="1" applyAlignment="1">
      <alignment horizontal="right" wrapText="1"/>
    </xf>
    <xf numFmtId="180" fontId="27" fillId="0" borderId="41" xfId="4" applyNumberFormat="1" applyFont="1" applyBorder="1" applyAlignment="1">
      <alignment horizontal="center" wrapText="1"/>
    </xf>
    <xf numFmtId="43" fontId="27" fillId="4" borderId="43" xfId="1" applyFont="1" applyFill="1" applyBorder="1" applyAlignment="1">
      <alignment horizontal="center" wrapText="1"/>
    </xf>
    <xf numFmtId="15" fontId="27" fillId="0" borderId="42" xfId="4" applyNumberFormat="1" applyFont="1" applyBorder="1" applyAlignment="1">
      <alignment horizontal="center" wrapText="1"/>
    </xf>
    <xf numFmtId="177" fontId="27" fillId="0" borderId="42" xfId="1" applyNumberFormat="1" applyFont="1" applyFill="1" applyBorder="1" applyAlignment="1">
      <alignment horizontal="center" wrapText="1"/>
    </xf>
    <xf numFmtId="177" fontId="27" fillId="0" borderId="41" xfId="1" applyNumberFormat="1" applyFont="1" applyFill="1" applyBorder="1" applyAlignment="1">
      <alignment horizontal="center" wrapText="1"/>
    </xf>
    <xf numFmtId="43" fontId="26" fillId="0" borderId="41" xfId="1" applyFont="1" applyFill="1" applyBorder="1" applyAlignment="1">
      <alignment horizontal="right"/>
    </xf>
    <xf numFmtId="177" fontId="27" fillId="0" borderId="41" xfId="1" applyNumberFormat="1" applyFont="1" applyFill="1" applyBorder="1" applyAlignment="1">
      <alignment horizontal="right" wrapText="1"/>
    </xf>
    <xf numFmtId="4" fontId="27" fillId="0" borderId="41" xfId="1" applyNumberFormat="1" applyFont="1" applyFill="1" applyBorder="1" applyAlignment="1">
      <alignment horizontal="right" wrapText="1"/>
    </xf>
    <xf numFmtId="177" fontId="27" fillId="0" borderId="44" xfId="1" applyNumberFormat="1" applyFont="1" applyFill="1" applyBorder="1" applyAlignment="1">
      <alignment horizontal="center" wrapText="1"/>
    </xf>
    <xf numFmtId="43" fontId="27" fillId="0" borderId="44" xfId="1" applyFont="1" applyFill="1" applyBorder="1" applyAlignment="1">
      <alignment horizontal="center" wrapText="1"/>
    </xf>
    <xf numFmtId="177" fontId="27" fillId="0" borderId="44" xfId="1" applyNumberFormat="1" applyFont="1" applyFill="1" applyBorder="1" applyAlignment="1">
      <alignment horizontal="right" wrapText="1"/>
    </xf>
    <xf numFmtId="4" fontId="27" fillId="0" borderId="44" xfId="1" applyNumberFormat="1" applyFont="1" applyFill="1" applyBorder="1" applyAlignment="1">
      <alignment horizontal="right" wrapText="1"/>
    </xf>
    <xf numFmtId="43" fontId="26" fillId="0" borderId="45" xfId="1" applyFont="1" applyBorder="1"/>
    <xf numFmtId="177" fontId="27" fillId="0" borderId="46" xfId="1" applyNumberFormat="1" applyFont="1" applyFill="1" applyBorder="1" applyAlignment="1">
      <alignment horizontal="center" wrapText="1"/>
    </xf>
    <xf numFmtId="43" fontId="27" fillId="0" borderId="47" xfId="1" applyFont="1" applyFill="1" applyBorder="1" applyAlignment="1">
      <alignment horizontal="center" wrapText="1"/>
    </xf>
    <xf numFmtId="177" fontId="27" fillId="0" borderId="0" xfId="1" applyNumberFormat="1" applyFont="1" applyFill="1" applyBorder="1" applyAlignment="1">
      <alignment horizontal="center" wrapText="1"/>
    </xf>
    <xf numFmtId="43" fontId="27" fillId="0" borderId="48" xfId="1" applyFont="1" applyFill="1" applyBorder="1" applyAlignment="1">
      <alignment horizontal="right" wrapText="1"/>
    </xf>
    <xf numFmtId="177" fontId="27" fillId="0" borderId="46" xfId="1" applyNumberFormat="1" applyFont="1" applyFill="1" applyBorder="1" applyAlignment="1">
      <alignment horizontal="right" wrapText="1"/>
    </xf>
    <xf numFmtId="4" fontId="27" fillId="0" borderId="49" xfId="1" applyNumberFormat="1" applyFont="1" applyFill="1" applyBorder="1" applyAlignment="1">
      <alignment horizontal="right" wrapText="1"/>
    </xf>
    <xf numFmtId="177" fontId="27" fillId="0" borderId="0" xfId="1" applyNumberFormat="1" applyFont="1" applyFill="1" applyBorder="1" applyAlignment="1">
      <alignment horizontal="right" wrapText="1"/>
    </xf>
    <xf numFmtId="177" fontId="25" fillId="3" borderId="41" xfId="1" applyNumberFormat="1" applyFont="1" applyFill="1" applyBorder="1"/>
    <xf numFmtId="43" fontId="27" fillId="0" borderId="48" xfId="1" applyFont="1" applyFill="1" applyBorder="1" applyAlignment="1">
      <alignment horizontal="center" wrapText="1"/>
    </xf>
    <xf numFmtId="43" fontId="27" fillId="0" borderId="0" xfId="1" applyFont="1" applyFill="1" applyBorder="1" applyAlignment="1">
      <alignment horizontal="right" wrapText="1"/>
    </xf>
    <xf numFmtId="43" fontId="26" fillId="0" borderId="0" xfId="1" applyFont="1" applyBorder="1" applyAlignment="1">
      <alignment horizontal="right"/>
    </xf>
    <xf numFmtId="179" fontId="27" fillId="0" borderId="42" xfId="4" applyNumberFormat="1" applyFont="1" applyBorder="1" applyAlignment="1">
      <alignment horizontal="center" wrapText="1"/>
    </xf>
    <xf numFmtId="43" fontId="26" fillId="0" borderId="41" xfId="1" applyFont="1" applyFill="1" applyBorder="1"/>
    <xf numFmtId="0" fontId="25" fillId="0" borderId="41" xfId="0" applyFont="1" applyBorder="1" applyAlignment="1">
      <alignment horizontal="center"/>
    </xf>
    <xf numFmtId="43" fontId="25" fillId="3" borderId="41" xfId="1" applyFont="1" applyFill="1" applyBorder="1" applyAlignment="1">
      <alignment horizontal="right"/>
    </xf>
    <xf numFmtId="177" fontId="25" fillId="3" borderId="41" xfId="1" applyNumberFormat="1" applyFont="1" applyFill="1" applyBorder="1" applyAlignment="1">
      <alignment horizontal="right"/>
    </xf>
    <xf numFmtId="43" fontId="27" fillId="0" borderId="50" xfId="1" applyFont="1" applyFill="1" applyBorder="1" applyAlignment="1">
      <alignment horizontal="right" wrapText="1"/>
    </xf>
    <xf numFmtId="43" fontId="27" fillId="0" borderId="50" xfId="1" applyFont="1" applyFill="1" applyBorder="1" applyAlignment="1">
      <alignment horizontal="center" wrapText="1"/>
    </xf>
    <xf numFmtId="15" fontId="26" fillId="0" borderId="40" xfId="0" applyNumberFormat="1" applyFont="1" applyBorder="1" applyAlignment="1">
      <alignment horizontal="center"/>
    </xf>
    <xf numFmtId="43" fontId="26" fillId="0" borderId="40" xfId="1" applyFont="1" applyBorder="1"/>
    <xf numFmtId="43" fontId="26" fillId="0" borderId="51" xfId="1" applyFont="1" applyBorder="1"/>
    <xf numFmtId="43" fontId="26" fillId="0" borderId="52" xfId="1" applyFont="1" applyBorder="1"/>
    <xf numFmtId="43" fontId="26" fillId="0" borderId="37" xfId="1" applyFont="1" applyBorder="1"/>
    <xf numFmtId="177" fontId="26" fillId="0" borderId="41" xfId="1" applyNumberFormat="1" applyFont="1" applyBorder="1" applyAlignment="1">
      <alignment horizontal="center"/>
    </xf>
    <xf numFmtId="43" fontId="26" fillId="0" borderId="40" xfId="1" applyFont="1" applyBorder="1" applyAlignment="1">
      <alignment horizontal="center"/>
    </xf>
    <xf numFmtId="177" fontId="26" fillId="0" borderId="40" xfId="1" applyNumberFormat="1" applyFont="1" applyBorder="1" applyAlignment="1">
      <alignment horizontal="center"/>
    </xf>
    <xf numFmtId="43" fontId="26" fillId="0" borderId="38" xfId="1" applyFont="1" applyBorder="1"/>
    <xf numFmtId="43" fontId="26" fillId="0" borderId="48" xfId="1" applyFont="1" applyBorder="1"/>
    <xf numFmtId="43" fontId="26" fillId="0" borderId="45" xfId="1" applyFont="1" applyBorder="1" applyAlignment="1">
      <alignment horizontal="center"/>
    </xf>
    <xf numFmtId="177" fontId="26" fillId="0" borderId="51" xfId="1" applyNumberFormat="1" applyFont="1" applyBorder="1" applyAlignment="1">
      <alignment horizontal="center"/>
    </xf>
    <xf numFmtId="43" fontId="27" fillId="0" borderId="45" xfId="1" applyFont="1" applyFill="1" applyBorder="1" applyAlignment="1">
      <alignment horizontal="right" wrapText="1"/>
    </xf>
    <xf numFmtId="43" fontId="25" fillId="0" borderId="41" xfId="1" applyFont="1" applyBorder="1"/>
    <xf numFmtId="0" fontId="25" fillId="0" borderId="49" xfId="0" applyFont="1" applyBorder="1" applyAlignment="1">
      <alignment horizontal="left"/>
    </xf>
    <xf numFmtId="43" fontId="27" fillId="0" borderId="49" xfId="1" applyFont="1" applyFill="1" applyBorder="1" applyAlignment="1">
      <alignment horizontal="right" wrapText="1"/>
    </xf>
    <xf numFmtId="43" fontId="26" fillId="0" borderId="49" xfId="1" applyFont="1" applyBorder="1" applyAlignment="1">
      <alignment horizontal="right"/>
    </xf>
    <xf numFmtId="0" fontId="26" fillId="0" borderId="49" xfId="0" applyFont="1" applyBorder="1"/>
    <xf numFmtId="15" fontId="26" fillId="0" borderId="42" xfId="0" applyNumberFormat="1" applyFont="1" applyBorder="1" applyAlignment="1">
      <alignment horizontal="center"/>
    </xf>
    <xf numFmtId="43" fontId="26" fillId="0" borderId="42" xfId="1" applyFont="1" applyBorder="1"/>
    <xf numFmtId="43" fontId="26" fillId="0" borderId="42" xfId="1" applyFont="1" applyBorder="1" applyAlignment="1">
      <alignment horizontal="center"/>
    </xf>
    <xf numFmtId="177" fontId="26" fillId="0" borderId="42" xfId="1" applyNumberFormat="1" applyFont="1" applyBorder="1"/>
    <xf numFmtId="177" fontId="26" fillId="0" borderId="40" xfId="1" applyNumberFormat="1" applyFont="1" applyBorder="1"/>
    <xf numFmtId="43" fontId="25" fillId="3" borderId="41" xfId="1" applyFont="1" applyFill="1" applyBorder="1"/>
    <xf numFmtId="43" fontId="26" fillId="0" borderId="40" xfId="1" applyFont="1" applyFill="1" applyBorder="1"/>
    <xf numFmtId="43" fontId="26" fillId="0" borderId="40" xfId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0" fillId="0" borderId="0" xfId="0" applyFont="1"/>
    <xf numFmtId="0" fontId="25" fillId="0" borderId="16" xfId="0" applyFont="1" applyBorder="1" applyAlignment="1">
      <alignment horizontal="center"/>
    </xf>
    <xf numFmtId="0" fontId="26" fillId="0" borderId="10" xfId="0" applyFont="1" applyBorder="1"/>
    <xf numFmtId="0" fontId="30" fillId="0" borderId="10" xfId="0" applyFont="1" applyBorder="1"/>
    <xf numFmtId="0" fontId="25" fillId="0" borderId="10" xfId="0" applyFont="1" applyBorder="1"/>
    <xf numFmtId="166" fontId="26" fillId="0" borderId="10" xfId="1" applyNumberFormat="1" applyFont="1" applyBorder="1"/>
    <xf numFmtId="166" fontId="30" fillId="0" borderId="10" xfId="1" applyNumberFormat="1" applyFont="1" applyBorder="1"/>
    <xf numFmtId="166" fontId="26" fillId="0" borderId="10" xfId="1" applyNumberFormat="1" applyFont="1" applyBorder="1" applyAlignment="1">
      <alignment horizontal="right"/>
    </xf>
    <xf numFmtId="0" fontId="26" fillId="0" borderId="19" xfId="0" applyFont="1" applyBorder="1"/>
    <xf numFmtId="165" fontId="26" fillId="0" borderId="19" xfId="0" applyNumberFormat="1" applyFont="1" applyBorder="1" applyAlignment="1">
      <alignment horizontal="center"/>
    </xf>
    <xf numFmtId="0" fontId="25" fillId="0" borderId="2" xfId="0" quotePrefix="1" applyFont="1" applyBorder="1"/>
    <xf numFmtId="166" fontId="25" fillId="0" borderId="10" xfId="1" applyNumberFormat="1" applyFont="1" applyBorder="1"/>
    <xf numFmtId="0" fontId="25" fillId="0" borderId="0" xfId="0" applyFont="1"/>
    <xf numFmtId="166" fontId="30" fillId="0" borderId="10" xfId="0" applyNumberFormat="1" applyFont="1" applyBorder="1"/>
    <xf numFmtId="0" fontId="31" fillId="0" borderId="0" xfId="0" applyFont="1"/>
    <xf numFmtId="164" fontId="30" fillId="0" borderId="53" xfId="0" applyNumberFormat="1" applyFont="1" applyBorder="1"/>
    <xf numFmtId="164" fontId="30" fillId="0" borderId="53" xfId="0" applyNumberFormat="1" applyFont="1" applyBorder="1" applyAlignment="1">
      <alignment horizontal="center"/>
    </xf>
    <xf numFmtId="164" fontId="26" fillId="0" borderId="10" xfId="0" applyNumberFormat="1" applyFont="1" applyBorder="1"/>
    <xf numFmtId="164" fontId="26" fillId="0" borderId="10" xfId="0" applyNumberFormat="1" applyFont="1" applyBorder="1" applyAlignment="1">
      <alignment horizontal="center"/>
    </xf>
    <xf numFmtId="164" fontId="26" fillId="0" borderId="0" xfId="0" applyNumberFormat="1" applyFont="1"/>
    <xf numFmtId="164" fontId="25" fillId="0" borderId="2" xfId="0" quotePrefix="1" applyNumberFormat="1" applyFont="1" applyBorder="1"/>
    <xf numFmtId="164" fontId="25" fillId="0" borderId="10" xfId="0" applyNumberFormat="1" applyFont="1" applyBorder="1" applyAlignment="1">
      <alignment horizontal="center"/>
    </xf>
    <xf numFmtId="164" fontId="25" fillId="0" borderId="0" xfId="0" applyNumberFormat="1" applyFont="1"/>
    <xf numFmtId="0" fontId="31" fillId="0" borderId="19" xfId="0" applyFont="1" applyBorder="1"/>
    <xf numFmtId="10" fontId="31" fillId="0" borderId="19" xfId="5" applyNumberFormat="1" applyFont="1" applyBorder="1"/>
    <xf numFmtId="0" fontId="30" fillId="0" borderId="10" xfId="0" quotePrefix="1" applyFont="1" applyBorder="1"/>
    <xf numFmtId="10" fontId="30" fillId="0" borderId="0" xfId="5" applyNumberFormat="1" applyFont="1" applyAlignment="1">
      <alignment horizontal="center"/>
    </xf>
    <xf numFmtId="166" fontId="30" fillId="0" borderId="10" xfId="1" applyNumberFormat="1" applyFont="1" applyBorder="1" applyAlignment="1">
      <alignment horizontal="center"/>
    </xf>
    <xf numFmtId="166" fontId="30" fillId="3" borderId="10" xfId="1" applyNumberFormat="1" applyFont="1" applyFill="1" applyBorder="1" applyAlignment="1">
      <alignment horizontal="center"/>
    </xf>
    <xf numFmtId="0" fontId="30" fillId="0" borderId="19" xfId="0" quotePrefix="1" applyFont="1" applyBorder="1"/>
    <xf numFmtId="166" fontId="30" fillId="0" borderId="19" xfId="1" applyNumberFormat="1" applyFont="1" applyBorder="1"/>
    <xf numFmtId="0" fontId="30" fillId="0" borderId="2" xfId="0" quotePrefix="1" applyFont="1" applyBorder="1"/>
    <xf numFmtId="0" fontId="29" fillId="0" borderId="10" xfId="0" quotePrefix="1" applyFont="1" applyBorder="1"/>
    <xf numFmtId="164" fontId="29" fillId="0" borderId="10" xfId="5" applyNumberFormat="1" applyFont="1" applyBorder="1" applyAlignment="1">
      <alignment horizontal="center"/>
    </xf>
    <xf numFmtId="0" fontId="32" fillId="0" borderId="0" xfId="0" applyFont="1"/>
    <xf numFmtId="0" fontId="25" fillId="0" borderId="10" xfId="0" quotePrefix="1" applyFont="1" applyBorder="1"/>
    <xf numFmtId="0" fontId="25" fillId="0" borderId="10" xfId="0" applyFont="1" applyBorder="1" applyAlignment="1">
      <alignment horizontal="left"/>
    </xf>
    <xf numFmtId="43" fontId="26" fillId="0" borderId="10" xfId="0" applyNumberFormat="1" applyFont="1" applyBorder="1"/>
    <xf numFmtId="166" fontId="26" fillId="0" borderId="10" xfId="0" applyNumberFormat="1" applyFont="1" applyBorder="1"/>
    <xf numFmtId="166" fontId="26" fillId="0" borderId="19" xfId="0" applyNumberFormat="1" applyFont="1" applyBorder="1"/>
    <xf numFmtId="166" fontId="25" fillId="0" borderId="10" xfId="0" applyNumberFormat="1" applyFont="1" applyBorder="1"/>
    <xf numFmtId="166" fontId="30" fillId="0" borderId="10" xfId="1" applyNumberFormat="1" applyFont="1" applyFill="1" applyBorder="1"/>
    <xf numFmtId="166" fontId="30" fillId="0" borderId="0" xfId="1" applyNumberFormat="1" applyFont="1" applyFill="1"/>
    <xf numFmtId="2" fontId="25" fillId="0" borderId="10" xfId="0" applyNumberFormat="1" applyFont="1" applyBorder="1" applyAlignment="1">
      <alignment horizontal="center"/>
    </xf>
    <xf numFmtId="41" fontId="25" fillId="0" borderId="10" xfId="0" applyNumberFormat="1" applyFont="1" applyBorder="1"/>
    <xf numFmtId="10" fontId="25" fillId="0" borderId="16" xfId="5" applyNumberFormat="1" applyFont="1" applyBorder="1" applyAlignment="1">
      <alignment horizontal="center"/>
    </xf>
    <xf numFmtId="10" fontId="30" fillId="0" borderId="0" xfId="0" applyNumberFormat="1" applyFont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0" xfId="0" applyFont="1" applyBorder="1"/>
    <xf numFmtId="0" fontId="23" fillId="0" borderId="19" xfId="0" applyFont="1" applyBorder="1"/>
    <xf numFmtId="0" fontId="23" fillId="0" borderId="16" xfId="0" applyFont="1" applyBorder="1"/>
    <xf numFmtId="14" fontId="27" fillId="0" borderId="40" xfId="1" applyNumberFormat="1" applyFont="1" applyFill="1" applyBorder="1" applyAlignment="1">
      <alignment horizontal="center" wrapText="1"/>
    </xf>
    <xf numFmtId="0" fontId="34" fillId="0" borderId="0" xfId="0" applyFont="1"/>
    <xf numFmtId="0" fontId="35" fillId="0" borderId="0" xfId="0" applyFont="1"/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0" fontId="35" fillId="0" borderId="0" xfId="5" applyNumberFormat="1" applyFont="1" applyAlignment="1">
      <alignment horizontal="center"/>
    </xf>
    <xf numFmtId="0" fontId="35" fillId="0" borderId="3" xfId="0" quotePrefix="1" applyFont="1" applyBorder="1" applyAlignment="1">
      <alignment horizontal="center"/>
    </xf>
    <xf numFmtId="0" fontId="35" fillId="0" borderId="4" xfId="0" quotePrefix="1" applyFont="1" applyBorder="1" applyAlignment="1">
      <alignment horizontal="center"/>
    </xf>
    <xf numFmtId="0" fontId="35" fillId="0" borderId="5" xfId="0" quotePrefix="1" applyFont="1" applyBorder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5" fillId="0" borderId="11" xfId="0" quotePrefix="1" applyFont="1" applyBorder="1" applyAlignment="1">
      <alignment horizontal="center" vertical="top" wrapText="1"/>
    </xf>
    <xf numFmtId="0" fontId="35" fillId="0" borderId="18" xfId="0" applyFont="1" applyBorder="1" applyAlignment="1">
      <alignment horizontal="center" vertical="top" wrapText="1"/>
    </xf>
    <xf numFmtId="0" fontId="35" fillId="0" borderId="8" xfId="0" applyFont="1" applyBorder="1" applyAlignment="1">
      <alignment horizontal="center"/>
    </xf>
    <xf numFmtId="167" fontId="35" fillId="0" borderId="23" xfId="5" applyNumberFormat="1" applyFont="1" applyBorder="1" applyAlignment="1">
      <alignment horizontal="center"/>
    </xf>
    <xf numFmtId="10" fontId="35" fillId="0" borderId="21" xfId="5" applyNumberFormat="1" applyFont="1" applyBorder="1" applyAlignment="1">
      <alignment horizontal="center"/>
    </xf>
    <xf numFmtId="167" fontId="35" fillId="0" borderId="0" xfId="5" applyNumberFormat="1" applyFont="1" applyBorder="1" applyAlignment="1">
      <alignment horizontal="center"/>
    </xf>
    <xf numFmtId="167" fontId="35" fillId="0" borderId="21" xfId="5" applyNumberFormat="1" applyFont="1" applyBorder="1" applyAlignment="1">
      <alignment horizontal="center"/>
    </xf>
    <xf numFmtId="2" fontId="35" fillId="0" borderId="23" xfId="0" applyNumberFormat="1" applyFont="1" applyBorder="1" applyAlignment="1">
      <alignment horizontal="center"/>
    </xf>
    <xf numFmtId="164" fontId="35" fillId="0" borderId="10" xfId="0" applyNumberFormat="1" applyFont="1" applyBorder="1" applyAlignment="1">
      <alignment horizontal="center"/>
    </xf>
    <xf numFmtId="10" fontId="35" fillId="0" borderId="36" xfId="0" applyNumberFormat="1" applyFont="1" applyBorder="1" applyAlignment="1">
      <alignment horizontal="center"/>
    </xf>
    <xf numFmtId="10" fontId="35" fillId="0" borderId="0" xfId="0" applyNumberFormat="1" applyFont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168" fontId="35" fillId="0" borderId="0" xfId="0" applyNumberFormat="1" applyFont="1"/>
    <xf numFmtId="0" fontId="35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164" fontId="30" fillId="0" borderId="10" xfId="0" applyNumberFormat="1" applyFont="1" applyBorder="1" applyAlignment="1">
      <alignment horizontal="center"/>
    </xf>
    <xf numFmtId="164" fontId="26" fillId="0" borderId="19" xfId="0" applyNumberFormat="1" applyFont="1" applyBorder="1" applyAlignment="1">
      <alignment horizontal="center"/>
    </xf>
    <xf numFmtId="166" fontId="30" fillId="0" borderId="10" xfId="1" applyNumberFormat="1" applyFont="1" applyFill="1" applyBorder="1" applyAlignment="1">
      <alignment horizontal="center"/>
    </xf>
    <xf numFmtId="43" fontId="26" fillId="0" borderId="0" xfId="1" applyFont="1" applyFill="1" applyAlignment="1">
      <alignment horizontal="center"/>
    </xf>
    <xf numFmtId="43" fontId="26" fillId="0" borderId="51" xfId="1" applyFont="1" applyFill="1" applyBorder="1" applyAlignment="1">
      <alignment horizontal="center"/>
    </xf>
    <xf numFmtId="43" fontId="26" fillId="0" borderId="48" xfId="1" applyFont="1" applyFill="1" applyBorder="1"/>
    <xf numFmtId="0" fontId="35" fillId="0" borderId="0" xfId="0" quotePrefix="1" applyFont="1" applyAlignment="1">
      <alignment horizontal="center" vertical="center" wrapText="1"/>
    </xf>
    <xf numFmtId="170" fontId="3" fillId="0" borderId="0" xfId="0" applyNumberFormat="1" applyFont="1" applyAlignment="1">
      <alignment horizontal="center"/>
    </xf>
    <xf numFmtId="165" fontId="25" fillId="0" borderId="10" xfId="0" applyNumberFormat="1" applyFont="1" applyBorder="1" applyAlignment="1">
      <alignment horizontal="center"/>
    </xf>
    <xf numFmtId="165" fontId="25" fillId="0" borderId="10" xfId="5" applyNumberFormat="1" applyFont="1" applyBorder="1" applyAlignment="1">
      <alignment horizontal="center"/>
    </xf>
    <xf numFmtId="165" fontId="29" fillId="0" borderId="10" xfId="5" applyNumberFormat="1" applyFont="1" applyBorder="1" applyAlignment="1">
      <alignment horizontal="center"/>
    </xf>
    <xf numFmtId="0" fontId="35" fillId="0" borderId="0" xfId="0" quotePrefix="1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/>
    <xf numFmtId="0" fontId="35" fillId="0" borderId="1" xfId="0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44" fillId="0" borderId="0" xfId="0" applyFont="1" applyAlignment="1">
      <alignment horizontal="center"/>
    </xf>
    <xf numFmtId="165" fontId="35" fillId="0" borderId="0" xfId="0" applyNumberFormat="1" applyFont="1"/>
    <xf numFmtId="164" fontId="35" fillId="0" borderId="0" xfId="0" applyNumberFormat="1" applyFont="1"/>
    <xf numFmtId="0" fontId="35" fillId="0" borderId="0" xfId="0" applyFont="1" applyAlignment="1">
      <alignment shrinkToFit="1"/>
    </xf>
    <xf numFmtId="0" fontId="45" fillId="0" borderId="0" xfId="0" applyFont="1" applyAlignment="1">
      <alignment shrinkToFit="1"/>
    </xf>
    <xf numFmtId="0" fontId="34" fillId="0" borderId="0" xfId="0" applyFont="1" applyAlignment="1">
      <alignment shrinkToFit="1"/>
    </xf>
    <xf numFmtId="178" fontId="35" fillId="0" borderId="0" xfId="2" applyNumberFormat="1" applyFont="1"/>
    <xf numFmtId="0" fontId="35" fillId="0" borderId="17" xfId="0" applyFont="1" applyBorder="1"/>
    <xf numFmtId="165" fontId="35" fillId="0" borderId="17" xfId="0" applyNumberFormat="1" applyFont="1" applyBorder="1"/>
    <xf numFmtId="0" fontId="35" fillId="0" borderId="0" xfId="0" quotePrefix="1" applyFont="1" applyAlignment="1">
      <alignment shrinkToFit="1"/>
    </xf>
    <xf numFmtId="182" fontId="35" fillId="12" borderId="0" xfId="1" applyNumberFormat="1" applyFont="1" applyFill="1" applyAlignment="1"/>
    <xf numFmtId="182" fontId="35" fillId="11" borderId="0" xfId="1" applyNumberFormat="1" applyFont="1" applyFill="1" applyAlignment="1"/>
    <xf numFmtId="182" fontId="35" fillId="10" borderId="0" xfId="1" applyNumberFormat="1" applyFont="1" applyFill="1"/>
    <xf numFmtId="182" fontId="35" fillId="12" borderId="17" xfId="1" applyNumberFormat="1" applyFont="1" applyFill="1" applyBorder="1" applyAlignment="1"/>
    <xf numFmtId="182" fontId="35" fillId="11" borderId="17" xfId="1" applyNumberFormat="1" applyFont="1" applyFill="1" applyBorder="1" applyAlignment="1"/>
    <xf numFmtId="182" fontId="35" fillId="10" borderId="17" xfId="1" applyNumberFormat="1" applyFont="1" applyFill="1" applyBorder="1"/>
    <xf numFmtId="182" fontId="35" fillId="0" borderId="0" xfId="1" applyNumberFormat="1" applyFont="1"/>
    <xf numFmtId="173" fontId="35" fillId="0" borderId="0" xfId="0" applyNumberFormat="1" applyFont="1"/>
    <xf numFmtId="178" fontId="35" fillId="0" borderId="0" xfId="0" applyNumberFormat="1" applyFont="1"/>
    <xf numFmtId="178" fontId="35" fillId="0" borderId="17" xfId="2" applyNumberFormat="1" applyFont="1" applyBorder="1"/>
    <xf numFmtId="37" fontId="35" fillId="0" borderId="0" xfId="0" applyNumberFormat="1" applyFont="1"/>
    <xf numFmtId="183" fontId="35" fillId="0" borderId="0" xfId="5" applyNumberFormat="1" applyFont="1" applyAlignment="1">
      <alignment shrinkToFit="1"/>
    </xf>
    <xf numFmtId="178" fontId="35" fillId="0" borderId="0" xfId="2" applyNumberFormat="1" applyFont="1" applyFill="1"/>
    <xf numFmtId="2" fontId="35" fillId="0" borderId="0" xfId="0" applyNumberFormat="1" applyFont="1"/>
    <xf numFmtId="10" fontId="34" fillId="0" borderId="0" xfId="5" applyNumberFormat="1" applyFont="1" applyAlignment="1">
      <alignment horizontal="center"/>
    </xf>
    <xf numFmtId="0" fontId="35" fillId="0" borderId="0" xfId="0" applyFont="1" applyAlignment="1">
      <alignment horizontal="center" shrinkToFit="1"/>
    </xf>
    <xf numFmtId="0" fontId="48" fillId="0" borderId="0" xfId="0" applyFont="1" applyAlignment="1">
      <alignment horizontal="center" shrinkToFit="1"/>
    </xf>
    <xf numFmtId="15" fontId="26" fillId="0" borderId="0" xfId="0" applyNumberFormat="1" applyFont="1" applyAlignment="1">
      <alignment horizontal="center"/>
    </xf>
    <xf numFmtId="43" fontId="27" fillId="13" borderId="41" xfId="1" applyFont="1" applyFill="1" applyBorder="1" applyAlignment="1">
      <alignment horizontal="right" wrapText="1"/>
    </xf>
    <xf numFmtId="43" fontId="26" fillId="13" borderId="0" xfId="1" applyFont="1" applyFill="1"/>
    <xf numFmtId="43" fontId="26" fillId="13" borderId="0" xfId="1" applyFont="1" applyFill="1" applyAlignment="1">
      <alignment horizontal="center"/>
    </xf>
    <xf numFmtId="178" fontId="35" fillId="0" borderId="0" xfId="0" applyNumberFormat="1" applyFont="1" applyAlignment="1">
      <alignment horizontal="center"/>
    </xf>
    <xf numFmtId="2" fontId="3" fillId="0" borderId="16" xfId="0" applyNumberFormat="1" applyFont="1" applyBorder="1" applyAlignment="1">
      <alignment horizontal="center" vertical="center"/>
    </xf>
    <xf numFmtId="9" fontId="3" fillId="0" borderId="16" xfId="5" applyFont="1" applyFill="1" applyBorder="1" applyAlignment="1">
      <alignment horizontal="center" vertical="center"/>
    </xf>
    <xf numFmtId="0" fontId="51" fillId="0" borderId="12" xfId="0" applyFont="1" applyBorder="1" applyAlignment="1">
      <alignment horizontal="centerContinuous"/>
    </xf>
    <xf numFmtId="0" fontId="51" fillId="0" borderId="13" xfId="0" applyFont="1" applyBorder="1" applyAlignment="1">
      <alignment horizontal="centerContinuous"/>
    </xf>
    <xf numFmtId="0" fontId="51" fillId="0" borderId="14" xfId="0" applyFont="1" applyBorder="1" applyAlignment="1">
      <alignment horizontal="center"/>
    </xf>
    <xf numFmtId="0" fontId="51" fillId="0" borderId="15" xfId="0" applyFont="1" applyBorder="1" applyAlignment="1">
      <alignment horizontal="center"/>
    </xf>
    <xf numFmtId="0" fontId="51" fillId="0" borderId="16" xfId="0" applyFont="1" applyBorder="1" applyAlignment="1">
      <alignment horizontal="center"/>
    </xf>
    <xf numFmtId="170" fontId="51" fillId="0" borderId="16" xfId="0" applyNumberFormat="1" applyFont="1" applyBorder="1"/>
    <xf numFmtId="9" fontId="51" fillId="0" borderId="16" xfId="0" applyNumberFormat="1" applyFont="1" applyBorder="1" applyAlignment="1">
      <alignment horizontal="center" vertical="center"/>
    </xf>
    <xf numFmtId="164" fontId="51" fillId="0" borderId="16" xfId="0" applyNumberFormat="1" applyFont="1" applyBorder="1" applyAlignment="1">
      <alignment horizontal="center" vertical="center"/>
    </xf>
    <xf numFmtId="2" fontId="3" fillId="14" borderId="14" xfId="0" applyNumberFormat="1" applyFont="1" applyFill="1" applyBorder="1" applyAlignment="1">
      <alignment vertical="center"/>
    </xf>
    <xf numFmtId="0" fontId="0" fillId="14" borderId="15" xfId="0" applyFill="1" applyBorder="1"/>
    <xf numFmtId="170" fontId="35" fillId="0" borderId="16" xfId="0" applyNumberFormat="1" applyFont="1" applyBorder="1" applyAlignment="1">
      <alignment horizontal="center"/>
    </xf>
    <xf numFmtId="0" fontId="3" fillId="14" borderId="12" xfId="0" applyFont="1" applyFill="1" applyBorder="1" applyAlignment="1">
      <alignment horizontal="centerContinuous"/>
    </xf>
    <xf numFmtId="0" fontId="3" fillId="14" borderId="13" xfId="0" applyFont="1" applyFill="1" applyBorder="1" applyAlignment="1">
      <alignment horizontal="centerContinuous"/>
    </xf>
    <xf numFmtId="0" fontId="3" fillId="14" borderId="14" xfId="0" applyFont="1" applyFill="1" applyBorder="1" applyAlignment="1">
      <alignment horizontal="center"/>
    </xf>
    <xf numFmtId="0" fontId="3" fillId="14" borderId="15" xfId="0" applyFont="1" applyFill="1" applyBorder="1" applyAlignment="1">
      <alignment horizontal="center"/>
    </xf>
    <xf numFmtId="170" fontId="51" fillId="0" borderId="16" xfId="0" applyNumberFormat="1" applyFont="1" applyBorder="1" applyAlignment="1">
      <alignment horizontal="center"/>
    </xf>
    <xf numFmtId="43" fontId="26" fillId="0" borderId="0" xfId="1" applyFont="1" applyFill="1"/>
    <xf numFmtId="2" fontId="26" fillId="0" borderId="21" xfId="0" applyNumberFormat="1" applyFont="1" applyBorder="1" applyAlignment="1">
      <alignment horizontal="center"/>
    </xf>
    <xf numFmtId="182" fontId="35" fillId="11" borderId="0" xfId="1" applyNumberFormat="1" applyFont="1" applyFill="1"/>
    <xf numFmtId="182" fontId="35" fillId="11" borderId="17" xfId="1" applyNumberFormat="1" applyFont="1" applyFill="1" applyBorder="1"/>
    <xf numFmtId="10" fontId="35" fillId="0" borderId="61" xfId="5" applyNumberFormat="1" applyFont="1" applyBorder="1" applyAlignment="1">
      <alignment horizontal="center" vertical="center"/>
    </xf>
    <xf numFmtId="0" fontId="2" fillId="0" borderId="0" xfId="7"/>
    <xf numFmtId="0" fontId="35" fillId="0" borderId="0" xfId="7" applyFont="1"/>
    <xf numFmtId="167" fontId="35" fillId="0" borderId="0" xfId="7" applyNumberFormat="1" applyFont="1"/>
    <xf numFmtId="0" fontId="39" fillId="0" borderId="0" xfId="7" applyFont="1" applyAlignment="1">
      <alignment horizontal="center"/>
    </xf>
    <xf numFmtId="0" fontId="35" fillId="0" borderId="0" xfId="7" applyFont="1" applyAlignment="1">
      <alignment horizontal="left"/>
    </xf>
    <xf numFmtId="0" fontId="34" fillId="0" borderId="26" xfId="7" applyFont="1" applyBorder="1" applyAlignment="1">
      <alignment horizontal="center"/>
    </xf>
    <xf numFmtId="0" fontId="34" fillId="0" borderId="27" xfId="7" applyFont="1" applyBorder="1" applyAlignment="1">
      <alignment horizontal="centerContinuous"/>
    </xf>
    <xf numFmtId="0" fontId="34" fillId="0" borderId="28" xfId="7" applyFont="1" applyBorder="1" applyAlignment="1">
      <alignment horizontal="centerContinuous"/>
    </xf>
    <xf numFmtId="0" fontId="34" fillId="0" borderId="29" xfId="7" applyFont="1" applyBorder="1" applyAlignment="1">
      <alignment horizontal="centerContinuous"/>
    </xf>
    <xf numFmtId="9" fontId="34" fillId="0" borderId="25" xfId="7" applyNumberFormat="1" applyFont="1" applyBorder="1" applyAlignment="1">
      <alignment horizontal="center"/>
    </xf>
    <xf numFmtId="9" fontId="34" fillId="0" borderId="1" xfId="7" applyNumberFormat="1" applyFont="1" applyBorder="1" applyAlignment="1">
      <alignment horizontal="center"/>
    </xf>
    <xf numFmtId="9" fontId="34" fillId="0" borderId="31" xfId="7" applyNumberFormat="1" applyFont="1" applyBorder="1" applyAlignment="1">
      <alignment horizontal="center"/>
    </xf>
    <xf numFmtId="9" fontId="40" fillId="0" borderId="0" xfId="7" applyNumberFormat="1" applyFont="1"/>
    <xf numFmtId="0" fontId="34" fillId="0" borderId="32" xfId="7" applyFont="1" applyBorder="1" applyAlignment="1">
      <alignment horizontal="center" vertical="center"/>
    </xf>
    <xf numFmtId="0" fontId="41" fillId="0" borderId="0" xfId="7" applyFont="1" applyAlignment="1">
      <alignment horizontal="center"/>
    </xf>
    <xf numFmtId="9" fontId="41" fillId="0" borderId="0" xfId="5" applyFont="1" applyAlignment="1">
      <alignment horizontal="center"/>
    </xf>
    <xf numFmtId="10" fontId="35" fillId="0" borderId="0" xfId="7" applyNumberFormat="1" applyFont="1" applyAlignment="1" applyProtection="1">
      <alignment horizontal="center"/>
      <protection locked="0"/>
    </xf>
    <xf numFmtId="0" fontId="34" fillId="0" borderId="30" xfId="7" applyFont="1" applyBorder="1" applyAlignment="1">
      <alignment horizontal="center" vertical="center"/>
    </xf>
    <xf numFmtId="9" fontId="35" fillId="0" borderId="0" xfId="7" applyNumberFormat="1" applyFont="1" applyAlignment="1">
      <alignment horizontal="center"/>
    </xf>
    <xf numFmtId="10" fontId="35" fillId="0" borderId="16" xfId="5" applyNumberFormat="1" applyFont="1" applyBorder="1" applyAlignment="1">
      <alignment horizontal="center" vertical="center"/>
    </xf>
    <xf numFmtId="10" fontId="35" fillId="0" borderId="34" xfId="5" applyNumberFormat="1" applyFont="1" applyBorder="1" applyAlignment="1">
      <alignment horizontal="center" vertical="center"/>
    </xf>
    <xf numFmtId="176" fontId="34" fillId="0" borderId="30" xfId="7" applyNumberFormat="1" applyFont="1" applyBorder="1" applyAlignment="1">
      <alignment horizontal="center" vertical="top"/>
    </xf>
    <xf numFmtId="10" fontId="35" fillId="0" borderId="56" xfId="5" applyNumberFormat="1" applyFont="1" applyBorder="1" applyAlignment="1">
      <alignment horizontal="center" vertical="center"/>
    </xf>
    <xf numFmtId="10" fontId="35" fillId="0" borderId="57" xfId="5" applyNumberFormat="1" applyFont="1" applyBorder="1" applyAlignment="1">
      <alignment horizontal="center" vertical="center"/>
    </xf>
    <xf numFmtId="10" fontId="35" fillId="0" borderId="59" xfId="5" applyNumberFormat="1" applyFont="1" applyBorder="1" applyAlignment="1">
      <alignment horizontal="center" vertical="center"/>
    </xf>
    <xf numFmtId="10" fontId="35" fillId="0" borderId="60" xfId="5" applyNumberFormat="1" applyFont="1" applyBorder="1" applyAlignment="1">
      <alignment horizontal="center" vertical="center"/>
    </xf>
    <xf numFmtId="10" fontId="35" fillId="0" borderId="58" xfId="5" applyNumberFormat="1" applyFont="1" applyBorder="1" applyAlignment="1">
      <alignment horizontal="center" vertical="center"/>
    </xf>
    <xf numFmtId="10" fontId="35" fillId="0" borderId="33" xfId="5" applyNumberFormat="1" applyFont="1" applyBorder="1" applyAlignment="1">
      <alignment horizontal="center" vertical="center"/>
    </xf>
    <xf numFmtId="10" fontId="35" fillId="0" borderId="35" xfId="5" applyNumberFormat="1" applyFont="1" applyBorder="1" applyAlignment="1">
      <alignment horizontal="center" vertical="center"/>
    </xf>
    <xf numFmtId="10" fontId="35" fillId="0" borderId="19" xfId="5" applyNumberFormat="1" applyFont="1" applyBorder="1" applyAlignment="1">
      <alignment horizontal="center" vertical="center"/>
    </xf>
    <xf numFmtId="10" fontId="35" fillId="0" borderId="62" xfId="5" applyNumberFormat="1" applyFont="1" applyBorder="1" applyAlignment="1">
      <alignment horizontal="center" vertical="center"/>
    </xf>
    <xf numFmtId="0" fontId="52" fillId="0" borderId="0" xfId="0" applyFont="1"/>
    <xf numFmtId="0" fontId="26" fillId="0" borderId="10" xfId="0" quotePrefix="1" applyFont="1" applyBorder="1" applyAlignment="1">
      <alignment horizontal="left" indent="1"/>
    </xf>
    <xf numFmtId="0" fontId="54" fillId="0" borderId="0" xfId="0" applyFont="1" applyAlignment="1">
      <alignment horizontal="center"/>
    </xf>
    <xf numFmtId="165" fontId="35" fillId="0" borderId="0" xfId="0" applyNumberFormat="1" applyFont="1" applyAlignment="1">
      <alignment horizontal="center"/>
    </xf>
    <xf numFmtId="0" fontId="54" fillId="0" borderId="0" xfId="0" applyFont="1" applyAlignment="1">
      <alignment horizontal="left"/>
    </xf>
    <xf numFmtId="14" fontId="54" fillId="0" borderId="0" xfId="0" applyNumberFormat="1" applyFont="1" applyAlignment="1">
      <alignment horizontal="center"/>
    </xf>
    <xf numFmtId="0" fontId="48" fillId="0" borderId="0" xfId="0" applyFont="1" applyAlignment="1">
      <alignment horizontal="left" vertical="center"/>
    </xf>
    <xf numFmtId="1" fontId="3" fillId="0" borderId="17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0" fontId="35" fillId="0" borderId="23" xfId="5" applyNumberFormat="1" applyFont="1" applyBorder="1" applyAlignment="1">
      <alignment horizontal="center"/>
    </xf>
    <xf numFmtId="164" fontId="54" fillId="0" borderId="0" xfId="5" applyNumberFormat="1" applyFont="1" applyFill="1" applyBorder="1" applyAlignment="1">
      <alignment horizontal="center"/>
    </xf>
    <xf numFmtId="37" fontId="54" fillId="0" borderId="0" xfId="1" applyNumberFormat="1" applyFont="1" applyFill="1" applyAlignment="1">
      <alignment horizontal="center"/>
    </xf>
    <xf numFmtId="37" fontId="35" fillId="0" borderId="0" xfId="1" applyNumberFormat="1" applyFont="1" applyFill="1" applyAlignment="1">
      <alignment horizontal="center"/>
    </xf>
    <xf numFmtId="10" fontId="35" fillId="0" borderId="0" xfId="0" applyNumberFormat="1" applyFont="1" applyAlignment="1">
      <alignment horizontal="center"/>
    </xf>
    <xf numFmtId="165" fontId="35" fillId="13" borderId="0" xfId="0" applyNumberFormat="1" applyFont="1" applyFill="1" applyAlignment="1">
      <alignment horizontal="center"/>
    </xf>
    <xf numFmtId="165" fontId="11" fillId="9" borderId="0" xfId="0" applyNumberFormat="1" applyFont="1" applyFill="1" applyAlignment="1">
      <alignment horizontal="center" vertical="center"/>
    </xf>
    <xf numFmtId="0" fontId="11" fillId="9" borderId="0" xfId="0" applyFont="1" applyFill="1"/>
    <xf numFmtId="0" fontId="3" fillId="9" borderId="0" xfId="0" applyFont="1" applyFill="1"/>
    <xf numFmtId="9" fontId="3" fillId="0" borderId="65" xfId="0" applyNumberFormat="1" applyFont="1" applyBorder="1" applyAlignment="1">
      <alignment horizontal="center" vertical="center"/>
    </xf>
    <xf numFmtId="164" fontId="3" fillId="0" borderId="65" xfId="0" applyNumberFormat="1" applyFont="1" applyBorder="1" applyAlignment="1">
      <alignment horizontal="center" vertical="center"/>
    </xf>
    <xf numFmtId="181" fontId="55" fillId="9" borderId="63" xfId="3" applyNumberFormat="1" applyFont="1" applyFill="1" applyBorder="1" applyAlignment="1">
      <alignment horizontal="center"/>
    </xf>
    <xf numFmtId="181" fontId="55" fillId="9" borderId="13" xfId="3" applyNumberFormat="1" applyFont="1" applyFill="1" applyBorder="1" applyAlignment="1">
      <alignment horizontal="center"/>
    </xf>
    <xf numFmtId="181" fontId="55" fillId="9" borderId="64" xfId="3" applyNumberFormat="1" applyFont="1" applyFill="1" applyBorder="1" applyAlignment="1">
      <alignment horizontal="center"/>
    </xf>
    <xf numFmtId="181" fontId="55" fillId="9" borderId="21" xfId="3" applyNumberFormat="1" applyFont="1" applyFill="1" applyBorder="1" applyAlignment="1">
      <alignment horizontal="center"/>
    </xf>
    <xf numFmtId="171" fontId="55" fillId="9" borderId="2" xfId="0" applyNumberFormat="1" applyFont="1" applyFill="1" applyBorder="1" applyAlignment="1">
      <alignment vertical="center"/>
    </xf>
    <xf numFmtId="171" fontId="55" fillId="9" borderId="10" xfId="0" applyNumberFormat="1" applyFont="1" applyFill="1" applyBorder="1" applyAlignment="1">
      <alignment vertical="center"/>
    </xf>
    <xf numFmtId="171" fontId="55" fillId="9" borderId="19" xfId="0" applyNumberFormat="1" applyFont="1" applyFill="1" applyBorder="1" applyAlignment="1">
      <alignment vertical="center"/>
    </xf>
    <xf numFmtId="181" fontId="55" fillId="9" borderId="66" xfId="3" applyNumberFormat="1" applyFont="1" applyFill="1" applyBorder="1" applyAlignment="1">
      <alignment horizontal="center"/>
    </xf>
    <xf numFmtId="181" fontId="55" fillId="9" borderId="15" xfId="3" applyNumberFormat="1" applyFont="1" applyFill="1" applyBorder="1" applyAlignment="1">
      <alignment horizontal="center"/>
    </xf>
    <xf numFmtId="164" fontId="6" fillId="15" borderId="0" xfId="0" applyNumberFormat="1" applyFont="1" applyFill="1" applyAlignment="1">
      <alignment horizontal="center" vertical="center"/>
    </xf>
    <xf numFmtId="14" fontId="35" fillId="0" borderId="0" xfId="0" applyNumberFormat="1" applyFont="1"/>
    <xf numFmtId="0" fontId="35" fillId="0" borderId="0" xfId="0" applyFont="1" applyAlignment="1">
      <alignment horizontal="right"/>
    </xf>
    <xf numFmtId="49" fontId="54" fillId="0" borderId="0" xfId="0" quotePrefix="1" applyNumberFormat="1" applyFont="1" applyAlignment="1">
      <alignment horizontal="center"/>
    </xf>
    <xf numFmtId="0" fontId="34" fillId="0" borderId="17" xfId="0" applyFont="1" applyBorder="1" applyAlignment="1">
      <alignment horizontal="center" wrapText="1"/>
    </xf>
    <xf numFmtId="14" fontId="34" fillId="0" borderId="17" xfId="0" applyNumberFormat="1" applyFont="1" applyBorder="1" applyAlignment="1">
      <alignment horizontal="center" wrapText="1"/>
    </xf>
    <xf numFmtId="43" fontId="35" fillId="0" borderId="17" xfId="1" applyFont="1" applyBorder="1" applyAlignment="1">
      <alignment horizontal="center"/>
    </xf>
    <xf numFmtId="172" fontId="35" fillId="0" borderId="17" xfId="1" applyNumberFormat="1" applyFont="1" applyBorder="1" applyAlignment="1">
      <alignment horizontal="center"/>
    </xf>
    <xf numFmtId="172" fontId="35" fillId="0" borderId="17" xfId="1" applyNumberFormat="1" applyFont="1" applyBorder="1"/>
    <xf numFmtId="43" fontId="35" fillId="0" borderId="67" xfId="1" applyFont="1" applyBorder="1" applyAlignment="1">
      <alignment horizontal="center"/>
    </xf>
    <xf numFmtId="172" fontId="35" fillId="0" borderId="67" xfId="1" applyNumberFormat="1" applyFont="1" applyBorder="1" applyAlignment="1">
      <alignment horizontal="center"/>
    </xf>
    <xf numFmtId="172" fontId="35" fillId="0" borderId="67" xfId="1" applyNumberFormat="1" applyFont="1" applyBorder="1"/>
    <xf numFmtId="0" fontId="34" fillId="0" borderId="15" xfId="0" applyFont="1" applyBorder="1" applyAlignment="1">
      <alignment horizontal="center" wrapText="1"/>
    </xf>
    <xf numFmtId="0" fontId="35" fillId="0" borderId="21" xfId="0" applyFont="1" applyBorder="1"/>
    <xf numFmtId="0" fontId="34" fillId="0" borderId="15" xfId="0" applyFont="1" applyBorder="1" applyAlignment="1">
      <alignment horizontal="center"/>
    </xf>
    <xf numFmtId="0" fontId="34" fillId="0" borderId="68" xfId="0" applyFont="1" applyBorder="1" applyAlignment="1">
      <alignment horizontal="center"/>
    </xf>
    <xf numFmtId="166" fontId="54" fillId="0" borderId="0" xfId="1" applyNumberFormat="1" applyFont="1" applyFill="1" applyAlignment="1">
      <alignment horizontal="center"/>
    </xf>
    <xf numFmtId="37" fontId="54" fillId="0" borderId="0" xfId="0" applyNumberFormat="1" applyFont="1"/>
    <xf numFmtId="2" fontId="54" fillId="0" borderId="0" xfId="0" applyNumberFormat="1" applyFont="1" applyAlignment="1">
      <alignment horizontal="center"/>
    </xf>
    <xf numFmtId="0" fontId="55" fillId="9" borderId="0" xfId="0" applyFont="1" applyFill="1"/>
    <xf numFmtId="0" fontId="56" fillId="0" borderId="0" xfId="0" applyFont="1"/>
    <xf numFmtId="168" fontId="56" fillId="0" borderId="17" xfId="0" applyNumberFormat="1" applyFont="1" applyBorder="1"/>
    <xf numFmtId="0" fontId="56" fillId="0" borderId="0" xfId="0" applyFont="1" applyAlignment="1">
      <alignment horizontal="center"/>
    </xf>
    <xf numFmtId="168" fontId="56" fillId="0" borderId="0" xfId="0" applyNumberFormat="1" applyFont="1"/>
    <xf numFmtId="167" fontId="56" fillId="0" borderId="0" xfId="5" applyNumberFormat="1" applyFont="1"/>
    <xf numFmtId="167" fontId="56" fillId="0" borderId="0" xfId="0" applyNumberFormat="1" applyFont="1"/>
    <xf numFmtId="169" fontId="56" fillId="0" borderId="0" xfId="0" applyNumberFormat="1" applyFont="1"/>
    <xf numFmtId="167" fontId="56" fillId="0" borderId="0" xfId="5" applyNumberFormat="1" applyFont="1" applyBorder="1"/>
    <xf numFmtId="167" fontId="56" fillId="0" borderId="0" xfId="5" quotePrefix="1" applyNumberFormat="1" applyFont="1" applyBorder="1" applyAlignment="1">
      <alignment horizontal="right"/>
    </xf>
    <xf numFmtId="167" fontId="56" fillId="0" borderId="0" xfId="5" applyNumberFormat="1" applyFont="1" applyFill="1" applyBorder="1"/>
    <xf numFmtId="167" fontId="56" fillId="0" borderId="0" xfId="5" applyNumberFormat="1" applyFont="1" applyFill="1"/>
    <xf numFmtId="0" fontId="36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0" fontId="35" fillId="0" borderId="9" xfId="0" applyFont="1" applyBorder="1" applyAlignment="1">
      <alignment horizontal="center"/>
    </xf>
    <xf numFmtId="167" fontId="35" fillId="0" borderId="22" xfId="5" applyNumberFormat="1" applyFont="1" applyBorder="1" applyAlignment="1">
      <alignment horizontal="center"/>
    </xf>
    <xf numFmtId="10" fontId="35" fillId="0" borderId="20" xfId="5" applyNumberFormat="1" applyFont="1" applyBorder="1" applyAlignment="1">
      <alignment horizontal="center"/>
    </xf>
    <xf numFmtId="10" fontId="35" fillId="0" borderId="22" xfId="5" applyNumberFormat="1" applyFont="1" applyBorder="1" applyAlignment="1">
      <alignment horizontal="center"/>
    </xf>
    <xf numFmtId="2" fontId="35" fillId="0" borderId="22" xfId="0" applyNumberFormat="1" applyFont="1" applyBorder="1" applyAlignment="1">
      <alignment horizontal="center"/>
    </xf>
    <xf numFmtId="164" fontId="35" fillId="0" borderId="11" xfId="0" applyNumberFormat="1" applyFont="1" applyBorder="1" applyAlignment="1">
      <alignment horizontal="center"/>
    </xf>
    <xf numFmtId="0" fontId="55" fillId="0" borderId="0" xfId="0" applyFont="1"/>
    <xf numFmtId="0" fontId="55" fillId="0" borderId="0" xfId="0" quotePrefix="1" applyFont="1"/>
    <xf numFmtId="167" fontId="36" fillId="0" borderId="0" xfId="7" applyNumberFormat="1" applyFont="1"/>
    <xf numFmtId="0" fontId="57" fillId="0" borderId="0" xfId="0" applyFont="1"/>
    <xf numFmtId="10" fontId="3" fillId="9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167" fontId="35" fillId="0" borderId="24" xfId="5" applyNumberFormat="1" applyFont="1" applyBorder="1" applyAlignment="1">
      <alignment horizontal="center"/>
    </xf>
    <xf numFmtId="167" fontId="35" fillId="0" borderId="20" xfId="5" applyNumberFormat="1" applyFont="1" applyBorder="1" applyAlignment="1">
      <alignment horizontal="center"/>
    </xf>
    <xf numFmtId="2" fontId="26" fillId="0" borderId="20" xfId="0" applyNumberFormat="1" applyFont="1" applyBorder="1" applyAlignment="1">
      <alignment horizontal="center"/>
    </xf>
    <xf numFmtId="10" fontId="35" fillId="0" borderId="18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0" fontId="35" fillId="9" borderId="0" xfId="0" applyNumberFormat="1" applyFont="1" applyFill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54" xfId="0" quotePrefix="1" applyFont="1" applyBorder="1" applyAlignment="1">
      <alignment horizontal="center"/>
    </xf>
    <xf numFmtId="0" fontId="35" fillId="0" borderId="55" xfId="0" quotePrefix="1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5" fillId="8" borderId="0" xfId="0" applyFont="1" applyFill="1" applyAlignment="1">
      <alignment horizontal="center"/>
    </xf>
    <xf numFmtId="0" fontId="45" fillId="0" borderId="0" xfId="0" applyFont="1" applyAlignment="1">
      <alignment horizontal="center" shrinkToFit="1"/>
    </xf>
    <xf numFmtId="0" fontId="33" fillId="0" borderId="0" xfId="0" applyFont="1" applyAlignment="1">
      <alignment horizontal="center"/>
    </xf>
    <xf numFmtId="0" fontId="34" fillId="0" borderId="1" xfId="0" applyFont="1" applyBorder="1" applyAlignment="1">
      <alignment horizontal="center"/>
    </xf>
    <xf numFmtId="0" fontId="39" fillId="0" borderId="0" xfId="7" applyFont="1" applyAlignment="1">
      <alignment horizontal="center"/>
    </xf>
    <xf numFmtId="0" fontId="4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" fillId="9" borderId="0" xfId="0" applyFont="1" applyFill="1" applyAlignment="1">
      <alignment horizontal="center"/>
    </xf>
    <xf numFmtId="2" fontId="3" fillId="14" borderId="12" xfId="0" applyNumberFormat="1" applyFont="1" applyFill="1" applyBorder="1" applyAlignment="1">
      <alignment horizontal="center" vertical="center"/>
    </xf>
    <xf numFmtId="2" fontId="3" fillId="14" borderId="1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9" xr:uid="{00000000-0005-0000-0000-000002000000}"/>
    <cellStyle name="Currency" xfId="2" builtinId="4"/>
    <cellStyle name="Normal" xfId="0" builtinId="0"/>
    <cellStyle name="Normal 2" xfId="7" xr:uid="{00000000-0005-0000-0000-000005000000}"/>
    <cellStyle name="Normal 3" xfId="8" xr:uid="{00000000-0005-0000-0000-000006000000}"/>
    <cellStyle name="Normal_IRR MODEL RDM-12-21-2004" xfId="3" xr:uid="{00000000-0005-0000-0000-000007000000}"/>
    <cellStyle name="Normal_Sheet1" xfId="4" xr:uid="{00000000-0005-0000-0000-000008000000}"/>
    <cellStyle name="Percent" xfId="5" builtinId="5"/>
  </cellStyles>
  <dxfs count="16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colors>
    <mruColors>
      <color rgb="FF63F7B1"/>
      <color rgb="FF12C3D6"/>
      <color rgb="FFF858BF"/>
      <color rgb="FF800080"/>
      <color rgb="FF6E548D"/>
      <color rgb="FF79F61C"/>
      <color rgb="FFF71B2B"/>
      <color rgb="FFE42E3B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1225715729547081"/>
          <c:y val="0.10205642413528609"/>
          <c:w val="0.90082680979904151"/>
          <c:h val="0.76408028336704981"/>
        </c:manualLayout>
      </c:layout>
      <c:lineChart>
        <c:grouping val="standard"/>
        <c:varyColors val="0"/>
        <c:ser>
          <c:idx val="1"/>
          <c:order val="0"/>
          <c:tx>
            <c:v>RM Burden</c:v>
          </c:tx>
          <c:marker>
            <c:symbol val="none"/>
          </c:marker>
          <c:dLbls>
            <c:dLbl>
              <c:idx val="2"/>
              <c:layout>
                <c:manualLayout>
                  <c:x val="-4.9098586675919813E-3"/>
                  <c:y val="-1.6268137331900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C-4D88-BD58-5FCFE7231CA8}"/>
                </c:ext>
              </c:extLst>
            </c:dLbl>
            <c:dLbl>
              <c:idx val="3"/>
              <c:layout>
                <c:manualLayout>
                  <c:x val="0"/>
                  <c:y val="-1.36104069243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D88-BD58-5FCFE7231CA8}"/>
                </c:ext>
              </c:extLst>
            </c:dLbl>
            <c:dLbl>
              <c:idx val="4"/>
              <c:layout>
                <c:manualLayout>
                  <c:x val="-3.4357122629519267E-2"/>
                  <c:y val="-1.5093661078657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C-4D88-BD58-5FCFE7231CA8}"/>
                </c:ext>
              </c:extLst>
            </c:dLbl>
            <c:dLbl>
              <c:idx val="5"/>
              <c:layout>
                <c:manualLayout>
                  <c:x val="-1.2486063783139684E-2"/>
                  <c:y val="-1.3796504813024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D88-BD58-5FCFE7231CA8}"/>
                </c:ext>
              </c:extLst>
            </c:dLbl>
            <c:dLbl>
              <c:idx val="7"/>
              <c:layout>
                <c:manualLayout>
                  <c:x val="-1.7613977544855414E-2"/>
                  <c:y val="-2.6514573048500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C-4D88-BD58-5FCFE7231CA8}"/>
                </c:ext>
              </c:extLst>
            </c:dLbl>
            <c:dLbl>
              <c:idx val="8"/>
              <c:layout>
                <c:manualLayout>
                  <c:x val="-2.0240013483686595E-2"/>
                  <c:y val="-1.718001299240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D88-BD58-5FCFE7231CA8}"/>
                </c:ext>
              </c:extLst>
            </c:dLbl>
            <c:dLbl>
              <c:idx val="9"/>
              <c:layout>
                <c:manualLayout>
                  <c:x val="-2.0437955891136183E-2"/>
                  <c:y val="-2.0787842512945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C-4D88-BD58-5FCFE7231C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Logic!$C$6:$M$6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Logic!$C$41:$M$41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-5.1999999999999998E-3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C-4D88-BD58-5FCFE7231C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74105912"/>
        <c:axId val="274107088"/>
      </c:lineChart>
      <c:catAx>
        <c:axId val="274105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Policy Year</a:t>
                </a:r>
              </a:p>
            </c:rich>
          </c:tx>
          <c:layout>
            <c:manualLayout>
              <c:xMode val="edge"/>
              <c:yMode val="edge"/>
              <c:x val="0.50082664838368762"/>
              <c:y val="0.94064066757139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7410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1070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Burden</a:t>
                </a:r>
              </a:p>
            </c:rich>
          </c:tx>
          <c:layout>
            <c:manualLayout>
              <c:xMode val="edge"/>
              <c:yMode val="edge"/>
              <c:x val="1.3223145831912725E-2"/>
              <c:y val="0.45662168328708541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741059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Verdana"/>
          <a:cs typeface="Verdana"/>
        </a:defRPr>
      </a:pPr>
      <a:endParaRPr lang="en-US"/>
    </a:p>
  </c:txPr>
  <c:printSettings>
    <c:headerFooter alignWithMargins="0"/>
    <c:pageMargins b="1" l="0.75000000000000588" r="0.75000000000000588" t="1" header="0.5" footer="0.5"/>
    <c:pageSetup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Components of R.M. Burden</a:t>
            </a:r>
          </a:p>
        </c:rich>
      </c:tx>
      <c:layout>
        <c:manualLayout>
          <c:xMode val="edge"/>
          <c:yMode val="edge"/>
          <c:x val="0.35722451519006843"/>
          <c:y val="2.9411791105195085E-2"/>
        </c:manualLayout>
      </c:layout>
      <c:overlay val="0"/>
    </c:title>
    <c:autoTitleDeleted val="0"/>
    <c:view3D>
      <c:rotX val="24"/>
      <c:hPercent val="52"/>
      <c:rotY val="44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324326876608264E-2"/>
          <c:y val="0.10661774275633355"/>
          <c:w val="0.87118727868139989"/>
          <c:h val="0.55668878761911234"/>
        </c:manualLayout>
      </c:layout>
      <c:bar3DChart>
        <c:barDir val="col"/>
        <c:grouping val="standard"/>
        <c:varyColors val="0"/>
        <c:ser>
          <c:idx val="2"/>
          <c:order val="0"/>
          <c:tx>
            <c:v>Est. Ult. Written Premium</c:v>
          </c:tx>
          <c:invertIfNegative val="0"/>
          <c:cat>
            <c:strRef>
              <c:f>'My Exhibit'!$H$4:$Q$4</c:f>
              <c:strCache>
                <c:ptCount val="10"/>
                <c:pt idx="0">
                  <c:v>PY04</c:v>
                </c:pt>
                <c:pt idx="1">
                  <c:v>PY05</c:v>
                </c:pt>
                <c:pt idx="2">
                  <c:v>PY06</c:v>
                </c:pt>
                <c:pt idx="3">
                  <c:v>PY07</c:v>
                </c:pt>
                <c:pt idx="4">
                  <c:v>PY08</c:v>
                </c:pt>
                <c:pt idx="5">
                  <c:v>PY09</c:v>
                </c:pt>
                <c:pt idx="6">
                  <c:v>PY10</c:v>
                </c:pt>
                <c:pt idx="7">
                  <c:v>PY11</c:v>
                </c:pt>
                <c:pt idx="8">
                  <c:v>PY12</c:v>
                </c:pt>
                <c:pt idx="9">
                  <c:v>PY13</c:v>
                </c:pt>
              </c:strCache>
            </c:strRef>
          </c:cat>
          <c:val>
            <c:numRef>
              <c:f>'My Exhibit'!$H$9:$Q$9</c:f>
              <c:numCache>
                <c:formatCode>_(* #,##0_);_(* \(#,##0\);_(*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121738406</c:v>
                </c:pt>
                <c:pt idx="9">
                  <c:v>121200631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8-4EF3-9576-AA0F2D2355B2}"/>
            </c:ext>
          </c:extLst>
        </c:ser>
        <c:ser>
          <c:idx val="0"/>
          <c:order val="1"/>
          <c:tx>
            <c:strRef>
              <c:f>'My Exhibit'!$A$37</c:f>
              <c:strCache>
                <c:ptCount val="1"/>
                <c:pt idx="0">
                  <c:v>Est. Total Losses plus Expenses</c:v>
                </c:pt>
              </c:strCache>
            </c:strRef>
          </c:tx>
          <c:invertIfNegative val="0"/>
          <c:cat>
            <c:strRef>
              <c:f>'My Exhibit'!$H$4:$Q$4</c:f>
              <c:strCache>
                <c:ptCount val="10"/>
                <c:pt idx="0">
                  <c:v>PY04</c:v>
                </c:pt>
                <c:pt idx="1">
                  <c:v>PY05</c:v>
                </c:pt>
                <c:pt idx="2">
                  <c:v>PY06</c:v>
                </c:pt>
                <c:pt idx="3">
                  <c:v>PY07</c:v>
                </c:pt>
                <c:pt idx="4">
                  <c:v>PY08</c:v>
                </c:pt>
                <c:pt idx="5">
                  <c:v>PY09</c:v>
                </c:pt>
                <c:pt idx="6">
                  <c:v>PY10</c:v>
                </c:pt>
                <c:pt idx="7">
                  <c:v>PY11</c:v>
                </c:pt>
                <c:pt idx="8">
                  <c:v>PY12</c:v>
                </c:pt>
                <c:pt idx="9">
                  <c:v>PY13</c:v>
                </c:pt>
              </c:strCache>
            </c:strRef>
          </c:cat>
          <c:val>
            <c:numRef>
              <c:f>'My Exhibit'!$H$37:$Q$37</c:f>
              <c:numCache>
                <c:formatCode>_(* #,##0_);_(* \(#,##0\);_(*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120837541.79560001</c:v>
                </c:pt>
                <c:pt idx="9">
                  <c:v>124897250.2455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8-4EF3-9576-AA0F2D235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4106696"/>
        <c:axId val="274106304"/>
        <c:axId val="466042040"/>
      </c:bar3DChart>
      <c:catAx>
        <c:axId val="274106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Policy Year</a:t>
                </a:r>
              </a:p>
            </c:rich>
          </c:tx>
          <c:layout>
            <c:manualLayout>
              <c:xMode val="edge"/>
              <c:yMode val="edge"/>
              <c:x val="0.41935627550897026"/>
              <c:y val="0.7674678337028042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74106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106304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741066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7692009537632042E-2"/>
                <c:y val="0.19916992837767061"/>
              </c:manualLayout>
            </c:layout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</c:dispUnitsLbl>
        </c:dispUnits>
      </c:valAx>
      <c:serAx>
        <c:axId val="466042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4106304"/>
        <c:crosses val="autoZero"/>
        <c:tickLblSkip val="1"/>
        <c:tickMarkSkip val="1"/>
      </c:serAx>
    </c:plotArea>
    <c:legend>
      <c:legendPos val="b"/>
      <c:overlay val="1"/>
    </c:legend>
    <c:plotVisOnly val="1"/>
    <c:dispBlanksAs val="gap"/>
    <c:showDLblsOverMax val="0"/>
  </c:chart>
  <c:printSettings>
    <c:headerFooter alignWithMargins="0"/>
    <c:pageMargins b="1" l="0.75000000000000588" r="0.75000000000000588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/>
              <a:t>Estimated Burden, Data Valued as of March</a:t>
            </a:r>
            <a:r>
              <a:rPr lang="en-US" baseline="0"/>
              <a:t> 31, 2026</a:t>
            </a:r>
            <a:endParaRPr lang="en-US"/>
          </a:p>
        </c:rich>
      </c:tx>
      <c:layout>
        <c:manualLayout>
          <c:xMode val="edge"/>
          <c:yMode val="edge"/>
          <c:x val="0.24369043947835531"/>
          <c:y val="2.8368794326241127E-2"/>
        </c:manualLayout>
      </c:layout>
      <c:overlay val="0"/>
      <c:spPr>
        <a:solidFill>
          <a:srgbClr val="C0C0C0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49360964344208"/>
          <c:y val="0.11702146274268906"/>
          <c:w val="0.86945225135409065"/>
          <c:h val="0.76950487849221261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6597726198063361E-3"/>
                  <c:y val="5.114573444276738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1-49CE-94C4-52471895C04A}"/>
                </c:ext>
              </c:extLst>
            </c:dLbl>
            <c:dLbl>
              <c:idx val="1"/>
              <c:layout>
                <c:manualLayout>
                  <c:x val="-7.7024183987445434E-3"/>
                  <c:y val="-3.5831425327154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1-49CE-94C4-52471895C04A}"/>
                </c:ext>
              </c:extLst>
            </c:dLbl>
            <c:dLbl>
              <c:idx val="2"/>
              <c:layout>
                <c:manualLayout>
                  <c:x val="-2.3934540819473284E-3"/>
                  <c:y val="-6.35580126952224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1-49CE-94C4-52471895C04A}"/>
                </c:ext>
              </c:extLst>
            </c:dLbl>
            <c:dLbl>
              <c:idx val="3"/>
              <c:layout>
                <c:manualLayout>
                  <c:x val="-3.6119049087532467E-3"/>
                  <c:y val="-6.3697622903520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1-49CE-94C4-52471895C04A}"/>
                </c:ext>
              </c:extLst>
            </c:dLbl>
            <c:dLbl>
              <c:idx val="4"/>
              <c:layout>
                <c:manualLayout>
                  <c:x val="-4.553908568217485E-3"/>
                  <c:y val="-6.68751512443923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1-49CE-94C4-52471895C04A}"/>
                </c:ext>
              </c:extLst>
            </c:dLbl>
            <c:dLbl>
              <c:idx val="5"/>
              <c:layout>
                <c:manualLayout>
                  <c:x val="-5.6136455527916688E-3"/>
                  <c:y val="-8.56517935258092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1-49CE-94C4-52471895C04A}"/>
                </c:ext>
              </c:extLst>
            </c:dLbl>
            <c:dLbl>
              <c:idx val="6"/>
              <c:layout>
                <c:manualLayout>
                  <c:x val="-4.7684326665433138E-2"/>
                  <c:y val="1.7854656465814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1-49CE-94C4-52471895C04A}"/>
                </c:ext>
              </c:extLst>
            </c:dLbl>
            <c:dLbl>
              <c:idx val="7"/>
              <c:layout>
                <c:manualLayout>
                  <c:x val="-8.9858349951688118E-3"/>
                  <c:y val="1.1848066863982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1-49CE-94C4-52471895C04A}"/>
                </c:ext>
              </c:extLst>
            </c:dLbl>
            <c:dLbl>
              <c:idx val="8"/>
              <c:layout>
                <c:manualLayout>
                  <c:x val="-4.7566867457494708E-2"/>
                  <c:y val="-2.0658587889279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1-49CE-94C4-52471895C04A}"/>
                </c:ext>
              </c:extLst>
            </c:dLbl>
            <c:dLbl>
              <c:idx val="9"/>
              <c:layout>
                <c:manualLayout>
                  <c:x val="-2.4414794103739642E-2"/>
                  <c:y val="2.4630032948009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1-49CE-94C4-52471895C04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3472644439869657"/>
                  <c:y val="0.319149488775572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1-49CE-94C4-52471895C04A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1-49CE-94C4-52471895C0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+mn-lt"/>
                    <a:ea typeface="veranda"/>
                    <a:cs typeface="verand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'Exhibit 1'!$A$40:$A$49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'Exhibit 1'!$B$40:$B$49</c:f>
              <c:numCache>
                <c:formatCode>0.00%</c:formatCode>
                <c:ptCount val="10"/>
                <c:pt idx="0">
                  <c:v>-5.1640000000000002E-3</c:v>
                </c:pt>
                <c:pt idx="1">
                  <c:v>4.248E-3</c:v>
                </c:pt>
                <c:pt idx="2">
                  <c:v>2.1194000000000001E-2</c:v>
                </c:pt>
                <c:pt idx="3">
                  <c:v>1.1422E-2</c:v>
                </c:pt>
                <c:pt idx="4">
                  <c:v>2.447E-3</c:v>
                </c:pt>
                <c:pt idx="5">
                  <c:v>5.4168000000000001E-2</c:v>
                </c:pt>
                <c:pt idx="6">
                  <c:v>2.0278000000000001E-2</c:v>
                </c:pt>
                <c:pt idx="7">
                  <c:v>1.8147E-2</c:v>
                </c:pt>
                <c:pt idx="8">
                  <c:v>2.8766E-2</c:v>
                </c:pt>
                <c:pt idx="9">
                  <c:v>2.2671E-2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C1-49CE-94C4-52471895C0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4282344"/>
        <c:axId val="274282736"/>
      </c:lineChart>
      <c:catAx>
        <c:axId val="274282344"/>
        <c:scaling>
          <c:orientation val="minMax"/>
        </c:scaling>
        <c:delete val="0"/>
        <c:axPos val="b"/>
        <c:title>
          <c:tx>
            <c:rich>
              <a:bodyPr anchor="ctr" anchorCtr="1"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Policy Year</a:t>
                </a:r>
              </a:p>
            </c:rich>
          </c:tx>
          <c:layout>
            <c:manualLayout>
              <c:xMode val="edge"/>
              <c:yMode val="edge"/>
              <c:x val="0.44675650353832325"/>
              <c:y val="0.94149105943696842"/>
            </c:manualLayout>
          </c:layout>
          <c:overlay val="0"/>
          <c:spPr>
            <a:solidFill>
              <a:srgbClr val="C0C0C0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veranda"/>
                <a:ea typeface="veranda"/>
                <a:cs typeface="veranda"/>
              </a:defRPr>
            </a:pPr>
            <a:endParaRPr lang="en-US"/>
          </a:p>
        </c:txPr>
        <c:crossAx val="274282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282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Estimated Burden</a:t>
                </a:r>
              </a:p>
            </c:rich>
          </c:tx>
          <c:layout>
            <c:manualLayout>
              <c:xMode val="edge"/>
              <c:yMode val="edge"/>
              <c:x val="2.0887741774272765E-2"/>
              <c:y val="0.40425601911572456"/>
            </c:manualLayout>
          </c:layout>
          <c:overlay val="0"/>
          <c:spPr>
            <a:solidFill>
              <a:srgbClr val="C0C0C0"/>
            </a:solidFill>
            <a:ln w="25400">
              <a:noFill/>
            </a:ln>
          </c:spPr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42823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&amp;R&amp;"Verdana,Regular"Exhibit 1</c:oddHeader>
    </c:headerFooter>
    <c:pageMargins b="1" l="0.75000000000000588" r="0.75000000000000588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/>
              <a:t>Historical Burden Estimates  
Policy Years 2016 Through 2025</a:t>
            </a:r>
          </a:p>
        </c:rich>
      </c:tx>
      <c:layout>
        <c:manualLayout>
          <c:xMode val="edge"/>
          <c:yMode val="edge"/>
          <c:x val="0.32068227870479937"/>
          <c:y val="3.0120481927710836E-2"/>
        </c:manualLayout>
      </c:layout>
      <c:overlay val="0"/>
      <c:spPr>
        <a:solidFill>
          <a:srgbClr val="C0C0C0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234781943586196E-2"/>
          <c:y val="0.18265833305309173"/>
          <c:w val="0.80220639358522849"/>
          <c:h val="0.64257154118729054"/>
        </c:manualLayout>
      </c:layout>
      <c:lineChart>
        <c:grouping val="standard"/>
        <c:varyColors val="0"/>
        <c:ser>
          <c:idx val="1"/>
          <c:order val="0"/>
          <c:tx>
            <c:v>PY 25</c:v>
          </c:tx>
          <c:spPr>
            <a:ln w="19050" cap="flat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3'!$CG$41:$DQ$41</c:f>
              <c:numCache>
                <c:formatCode>m/yy\ </c:formatCode>
                <c:ptCount val="37"/>
                <c:pt idx="35" formatCode="0.0%">
                  <c:v>2.1488E-2</c:v>
                </c:pt>
                <c:pt idx="36" formatCode="0.0%">
                  <c:v>2.2671E-2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65-4C8D-8CF3-6566380B4267}"/>
            </c:ext>
          </c:extLst>
        </c:ser>
        <c:ser>
          <c:idx val="2"/>
          <c:order val="1"/>
          <c:tx>
            <c:v>PY 24</c:v>
          </c:tx>
          <c:spPr>
            <a:ln w="19050">
              <a:solidFill>
                <a:srgbClr val="12C3D6"/>
              </a:solidFill>
            </a:ln>
          </c:spPr>
          <c:marker>
            <c:symbol val="square"/>
            <c:size val="5"/>
            <c:spPr>
              <a:noFill/>
              <a:ln>
                <a:noFill/>
              </a:ln>
            </c:spPr>
          </c:marker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3'!$CG$42:$DQ$42</c:f>
              <c:numCache>
                <c:formatCode>m/yy\ </c:formatCode>
                <c:ptCount val="37"/>
                <c:pt idx="31" formatCode="0.0%">
                  <c:v>1.5507E-2</c:v>
                </c:pt>
                <c:pt idx="32" formatCode="0.0%">
                  <c:v>2.1302999999999999E-2</c:v>
                </c:pt>
                <c:pt idx="33" formatCode="0.0%">
                  <c:v>2.1302999999999999E-2</c:v>
                </c:pt>
                <c:pt idx="34" formatCode="0.0%">
                  <c:v>2.7432000000000002E-2</c:v>
                </c:pt>
                <c:pt idx="35" formatCode="0.0%">
                  <c:v>2.9405000000000001E-2</c:v>
                </c:pt>
                <c:pt idx="36" formatCode="0.0%">
                  <c:v>2.8766E-2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A1-40EA-AE33-28D0DAAC3492}"/>
            </c:ext>
          </c:extLst>
        </c:ser>
        <c:ser>
          <c:idx val="8"/>
          <c:order val="2"/>
          <c:tx>
            <c:v>PY 23</c:v>
          </c:tx>
          <c:spPr>
            <a:ln w="19050"/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none"/>
          </c:marker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05-0881-4593-A10A-888B964589A7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08-3E3B-4B27-A39A-9555059CD5A3}"/>
              </c:ext>
            </c:extLst>
          </c:dPt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3'!$CG$43:$DQ$43</c:f>
              <c:numCache>
                <c:formatCode>m/yy\ </c:formatCode>
                <c:ptCount val="37"/>
                <c:pt idx="27" formatCode="0.0%">
                  <c:v>1.7034000000000001E-2</c:v>
                </c:pt>
                <c:pt idx="28" formatCode="0.0%">
                  <c:v>1.6230000000000001E-2</c:v>
                </c:pt>
                <c:pt idx="29" formatCode="0.0%">
                  <c:v>1.6118E-2</c:v>
                </c:pt>
                <c:pt idx="30" formatCode="0.0%">
                  <c:v>1.6159E-2</c:v>
                </c:pt>
                <c:pt idx="31" formatCode="0.0%">
                  <c:v>1.5537E-2</c:v>
                </c:pt>
                <c:pt idx="32" formatCode="0.0%">
                  <c:v>1.9746E-2</c:v>
                </c:pt>
                <c:pt idx="33" formatCode="0.0%">
                  <c:v>1.9746E-2</c:v>
                </c:pt>
                <c:pt idx="34" formatCode="0.0%">
                  <c:v>1.8173000000000002E-2</c:v>
                </c:pt>
                <c:pt idx="35" formatCode="0.0%">
                  <c:v>1.8147E-2</c:v>
                </c:pt>
                <c:pt idx="36" formatCode="0.0%">
                  <c:v>1.8147E-2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3B-4B27-A39A-9555059CD5A3}"/>
            </c:ext>
          </c:extLst>
        </c:ser>
        <c:ser>
          <c:idx val="3"/>
          <c:order val="3"/>
          <c:tx>
            <c:v>PY 22</c:v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3'!$CG$44:$DQ$44</c:f>
              <c:numCache>
                <c:formatCode>m/yy\ </c:formatCode>
                <c:ptCount val="37"/>
                <c:pt idx="23" formatCode="0.0%">
                  <c:v>1.9487000000000001E-2</c:v>
                </c:pt>
                <c:pt idx="24" formatCode="0.0%">
                  <c:v>1.7186E-2</c:v>
                </c:pt>
                <c:pt idx="25" formatCode="0.0%">
                  <c:v>1.7207E-2</c:v>
                </c:pt>
                <c:pt idx="26" formatCode="0.0%">
                  <c:v>1.7330999999999999E-2</c:v>
                </c:pt>
                <c:pt idx="27" formatCode="0.0%">
                  <c:v>1.3636000000000001E-2</c:v>
                </c:pt>
                <c:pt idx="28" formatCode="0.0%">
                  <c:v>1.3015000000000001E-2</c:v>
                </c:pt>
                <c:pt idx="29" formatCode="0.0%">
                  <c:v>1.3086E-2</c:v>
                </c:pt>
                <c:pt idx="30" formatCode="0.0%">
                  <c:v>1.2205000000000001E-2</c:v>
                </c:pt>
                <c:pt idx="31" formatCode="0.0%">
                  <c:v>1.2152E-2</c:v>
                </c:pt>
                <c:pt idx="32" formatCode="0.0%">
                  <c:v>1.5068E-2</c:v>
                </c:pt>
                <c:pt idx="33" formatCode="0.0%">
                  <c:v>1.5068E-2</c:v>
                </c:pt>
                <c:pt idx="34" formatCode="0.0%">
                  <c:v>1.5068E-2</c:v>
                </c:pt>
                <c:pt idx="35" formatCode="0.0%">
                  <c:v>1.5068E-2</c:v>
                </c:pt>
                <c:pt idx="36" formatCode="0.0%">
                  <c:v>2.0278000000000001E-2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0A-48BC-8D9A-F69FBE1EC5C3}"/>
            </c:ext>
          </c:extLst>
        </c:ser>
        <c:ser>
          <c:idx val="10"/>
          <c:order val="4"/>
          <c:tx>
            <c:v>PY 21</c:v>
          </c:tx>
          <c:spPr>
            <a:ln w="19050">
              <a:solidFill>
                <a:schemeClr val="accent2">
                  <a:lumMod val="75000"/>
                </a:schemeClr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3'!$CG$45:$DQ$45</c:f>
              <c:numCache>
                <c:formatCode>m/yy\ </c:formatCode>
                <c:ptCount val="37"/>
                <c:pt idx="19" formatCode="0.0%">
                  <c:v>3.9813000000000001E-2</c:v>
                </c:pt>
                <c:pt idx="20" formatCode="0.0%">
                  <c:v>2.7865999999999998E-2</c:v>
                </c:pt>
                <c:pt idx="21" formatCode="0.0%">
                  <c:v>2.8174000000000001E-2</c:v>
                </c:pt>
                <c:pt idx="22" formatCode="0.0%">
                  <c:v>2.8514999999999999E-2</c:v>
                </c:pt>
                <c:pt idx="23" formatCode="0.0%">
                  <c:v>3.0953000000000001E-2</c:v>
                </c:pt>
                <c:pt idx="24" formatCode="0.0%">
                  <c:v>3.1230999999999998E-2</c:v>
                </c:pt>
                <c:pt idx="25" formatCode="0.0%">
                  <c:v>3.0324E-2</c:v>
                </c:pt>
                <c:pt idx="26" formatCode="0.0%">
                  <c:v>3.1253000000000003E-2</c:v>
                </c:pt>
                <c:pt idx="27" formatCode="0.0%">
                  <c:v>3.1150000000000001E-2</c:v>
                </c:pt>
                <c:pt idx="28" formatCode="0.0%">
                  <c:v>3.1219E-2</c:v>
                </c:pt>
                <c:pt idx="29" formatCode="0.0%">
                  <c:v>3.5210999999999999E-2</c:v>
                </c:pt>
                <c:pt idx="30" formatCode="0.0%">
                  <c:v>4.2285999999999997E-2</c:v>
                </c:pt>
                <c:pt idx="31" formatCode="0.0%">
                  <c:v>4.6161000000000001E-2</c:v>
                </c:pt>
                <c:pt idx="32" formatCode="0.0%">
                  <c:v>4.6261999999999998E-2</c:v>
                </c:pt>
                <c:pt idx="33" formatCode="0.0%">
                  <c:v>4.6261999999999998E-2</c:v>
                </c:pt>
                <c:pt idx="34" formatCode="0.0%">
                  <c:v>4.6237E-2</c:v>
                </c:pt>
                <c:pt idx="35" formatCode="0.0%">
                  <c:v>5.4137999999999999E-2</c:v>
                </c:pt>
                <c:pt idx="36" formatCode="0.0%">
                  <c:v>5.4168000000000001E-2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14-4854-94F3-73DEE6A6257D}"/>
            </c:ext>
          </c:extLst>
        </c:ser>
        <c:ser>
          <c:idx val="4"/>
          <c:order val="5"/>
          <c:tx>
            <c:v>PY 20</c:v>
          </c:tx>
          <c:spPr>
            <a:ln w="19050">
              <a:solidFill>
                <a:srgbClr val="0070C0"/>
              </a:solidFill>
            </a:ln>
          </c:spPr>
          <c:marker>
            <c:symbol val="star"/>
            <c:size val="4"/>
            <c:spPr>
              <a:noFill/>
              <a:ln>
                <a:noFill/>
              </a:ln>
            </c:spPr>
          </c:marker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0C-8577-4B70-B097-BA18FBD24FD4}"/>
              </c:ext>
            </c:extLst>
          </c:dPt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3'!$CG$46:$DQ$46</c:f>
              <c:numCache>
                <c:formatCode>m/yy\ </c:formatCode>
                <c:ptCount val="37"/>
                <c:pt idx="15" formatCode="0.0%">
                  <c:v>1.2855999999999999E-2</c:v>
                </c:pt>
                <c:pt idx="16" formatCode="0.0%">
                  <c:v>1.3350000000000001E-2</c:v>
                </c:pt>
                <c:pt idx="17" formatCode="0.0%">
                  <c:v>1.1089999999999999E-2</c:v>
                </c:pt>
                <c:pt idx="18" formatCode="0.0%">
                  <c:v>6.1500000000000001E-3</c:v>
                </c:pt>
                <c:pt idx="19" formatCode="0.0%">
                  <c:v>-2.2680000000000001E-3</c:v>
                </c:pt>
                <c:pt idx="20" formatCode="0.0%">
                  <c:v>1.6019999999999999E-3</c:v>
                </c:pt>
                <c:pt idx="21" formatCode="0.0%">
                  <c:v>-1.882E-3</c:v>
                </c:pt>
                <c:pt idx="22" formatCode="0.0%">
                  <c:v>-1.735E-3</c:v>
                </c:pt>
                <c:pt idx="23" formatCode="0.0%">
                  <c:v>-3.7390000000000001E-3</c:v>
                </c:pt>
                <c:pt idx="24" formatCode="0.0%">
                  <c:v>-3.7269999999999998E-3</c:v>
                </c:pt>
                <c:pt idx="25" formatCode="0.0%">
                  <c:v>-4.3119999999999999E-3</c:v>
                </c:pt>
                <c:pt idx="26" formatCode="0.0%">
                  <c:v>-3.3960000000000001E-3</c:v>
                </c:pt>
                <c:pt idx="27" formatCode="0.0%">
                  <c:v>-3.3960000000000001E-3</c:v>
                </c:pt>
                <c:pt idx="28" formatCode="0.0%">
                  <c:v>-3.3960000000000001E-3</c:v>
                </c:pt>
                <c:pt idx="29" formatCode="0.0%">
                  <c:v>-5.6599999999999999E-4</c:v>
                </c:pt>
                <c:pt idx="30" formatCode="0.0%">
                  <c:v>2.5379999999999999E-3</c:v>
                </c:pt>
                <c:pt idx="31" formatCode="0.0%">
                  <c:v>2.5370000000000002E-3</c:v>
                </c:pt>
                <c:pt idx="32" formatCode="0.0%">
                  <c:v>2.5379999999999999E-3</c:v>
                </c:pt>
                <c:pt idx="33" formatCode="0.0%">
                  <c:v>2.5379999999999999E-3</c:v>
                </c:pt>
                <c:pt idx="34" formatCode="0.0%">
                  <c:v>2.5370000000000002E-3</c:v>
                </c:pt>
                <c:pt idx="35" formatCode="0.0%">
                  <c:v>2.4290000000000002E-3</c:v>
                </c:pt>
                <c:pt idx="36" formatCode="0.0%">
                  <c:v>2.447E-3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77-4B70-B097-BA18FBD24FD4}"/>
            </c:ext>
          </c:extLst>
        </c:ser>
        <c:ser>
          <c:idx val="5"/>
          <c:order val="6"/>
          <c:tx>
            <c:v>PY 19</c:v>
          </c:tx>
          <c:spPr>
            <a:ln w="19050" cmpd="sng">
              <a:solidFill>
                <a:srgbClr val="FF0000"/>
              </a:solidFill>
            </a:ln>
            <a:effectLst>
              <a:outerShdw blurRad="50800" dist="50800" dir="5400000" sx="99000" sy="99000" algn="ctr" rotWithShape="0">
                <a:schemeClr val="bg1"/>
              </a:outerShdw>
            </a:effectLst>
          </c:spPr>
          <c:marker>
            <c:symbol val="none"/>
          </c:marker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3'!$CG$47:$DQ$47</c:f>
              <c:numCache>
                <c:formatCode>m/yy\ </c:formatCode>
                <c:ptCount val="37"/>
                <c:pt idx="11" formatCode="0.0%">
                  <c:v>1.9817000000000001E-2</c:v>
                </c:pt>
                <c:pt idx="12" formatCode="0.0%">
                  <c:v>1.4271000000000001E-2</c:v>
                </c:pt>
                <c:pt idx="13" formatCode="0.0%">
                  <c:v>1.4201E-2</c:v>
                </c:pt>
                <c:pt idx="14" formatCode="0.0%">
                  <c:v>8.9800000000000001E-3</c:v>
                </c:pt>
                <c:pt idx="15" formatCode="0.0%">
                  <c:v>2.7390000000000001E-3</c:v>
                </c:pt>
                <c:pt idx="16" formatCode="0.0%">
                  <c:v>2.0339999999999998E-3</c:v>
                </c:pt>
                <c:pt idx="17" formatCode="0.0%">
                  <c:v>-2.248E-3</c:v>
                </c:pt>
                <c:pt idx="18" formatCode="0.0%">
                  <c:v>-1.243E-3</c:v>
                </c:pt>
                <c:pt idx="19" formatCode="0.0%">
                  <c:v>-1.856E-3</c:v>
                </c:pt>
                <c:pt idx="20" formatCode="0.0%">
                  <c:v>-2.4750000000000002E-3</c:v>
                </c:pt>
                <c:pt idx="21" formatCode="0.0%">
                  <c:v>-2.4729999999999999E-3</c:v>
                </c:pt>
                <c:pt idx="22" formatCode="0.0%">
                  <c:v>-4.15E-4</c:v>
                </c:pt>
                <c:pt idx="23" formatCode="0.0%">
                  <c:v>1.645E-3</c:v>
                </c:pt>
                <c:pt idx="24" formatCode="0.0%">
                  <c:v>1.6410000000000001E-3</c:v>
                </c:pt>
                <c:pt idx="25" formatCode="0.0%">
                  <c:v>1.6410000000000001E-3</c:v>
                </c:pt>
                <c:pt idx="26" formatCode="0.0%">
                  <c:v>3.055E-3</c:v>
                </c:pt>
                <c:pt idx="27" formatCode="0.0%">
                  <c:v>3.055E-3</c:v>
                </c:pt>
                <c:pt idx="28" formatCode="0.0%">
                  <c:v>5.1139999999999996E-3</c:v>
                </c:pt>
                <c:pt idx="29" formatCode="0.0%">
                  <c:v>9.2090000000000002E-3</c:v>
                </c:pt>
                <c:pt idx="30" formatCode="0.0%">
                  <c:v>9.2090000000000002E-3</c:v>
                </c:pt>
                <c:pt idx="31" formatCode="0.0%">
                  <c:v>1.1284000000000001E-2</c:v>
                </c:pt>
                <c:pt idx="32" formatCode="0.0%">
                  <c:v>1.1284000000000001E-2</c:v>
                </c:pt>
                <c:pt idx="33" formatCode="0.0%">
                  <c:v>1.1284000000000001E-2</c:v>
                </c:pt>
                <c:pt idx="34" formatCode="0.0%">
                  <c:v>1.1322E-2</c:v>
                </c:pt>
                <c:pt idx="35" formatCode="0.0%">
                  <c:v>1.1416000000000001E-2</c:v>
                </c:pt>
                <c:pt idx="36" formatCode="0.0%">
                  <c:v>1.1422E-2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0A-4EF5-8B6B-C1D859205D88}"/>
            </c:ext>
          </c:extLst>
        </c:ser>
        <c:ser>
          <c:idx val="6"/>
          <c:order val="7"/>
          <c:tx>
            <c:v>PY 18</c:v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06-11B7-441F-82ED-59F51F2738B0}"/>
              </c:ext>
            </c:extLst>
          </c:dPt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3'!$CG$48:$DQ$48</c:f>
              <c:numCache>
                <c:formatCode>m/yy\ </c:formatCode>
                <c:ptCount val="37"/>
                <c:pt idx="7" formatCode="0.0%">
                  <c:v>7.8220000000000008E-3</c:v>
                </c:pt>
                <c:pt idx="8" formatCode="0.0%">
                  <c:v>1.5664999999999998E-2</c:v>
                </c:pt>
                <c:pt idx="9" formatCode="0.0%">
                  <c:v>1.5476999999999999E-2</c:v>
                </c:pt>
                <c:pt idx="10" formatCode="0.0%">
                  <c:v>1.5417E-2</c:v>
                </c:pt>
                <c:pt idx="11" formatCode="0.0%">
                  <c:v>1.3599999999999999E-2</c:v>
                </c:pt>
                <c:pt idx="12" formatCode="0.0%">
                  <c:v>1.4492E-2</c:v>
                </c:pt>
                <c:pt idx="13" formatCode="0.0%">
                  <c:v>1.2957E-2</c:v>
                </c:pt>
                <c:pt idx="14" formatCode="0.0%">
                  <c:v>1.2208999999999999E-2</c:v>
                </c:pt>
                <c:pt idx="15" formatCode="0.0%">
                  <c:v>1.1410999999999999E-2</c:v>
                </c:pt>
                <c:pt idx="16" formatCode="0.0%">
                  <c:v>1.0932000000000001E-2</c:v>
                </c:pt>
                <c:pt idx="17" formatCode="0.0%">
                  <c:v>1.0932000000000001E-2</c:v>
                </c:pt>
                <c:pt idx="18" formatCode="0.0%">
                  <c:v>1.4385999999999999E-2</c:v>
                </c:pt>
                <c:pt idx="19" formatCode="0.0%">
                  <c:v>1.6466999999999999E-2</c:v>
                </c:pt>
                <c:pt idx="20" formatCode="0.0%">
                  <c:v>1.6490000000000001E-2</c:v>
                </c:pt>
                <c:pt idx="21" formatCode="0.0%">
                  <c:v>1.8852000000000001E-2</c:v>
                </c:pt>
                <c:pt idx="22" formatCode="0.0%">
                  <c:v>1.8852000000000001E-2</c:v>
                </c:pt>
                <c:pt idx="23" formatCode="0.0%">
                  <c:v>1.8860999999999999E-2</c:v>
                </c:pt>
                <c:pt idx="24" formatCode="0.0%">
                  <c:v>1.9040000000000001E-2</c:v>
                </c:pt>
                <c:pt idx="25" formatCode="0.0%">
                  <c:v>2.1437999999999999E-2</c:v>
                </c:pt>
                <c:pt idx="26" formatCode="0.0%">
                  <c:v>2.1447999999999998E-2</c:v>
                </c:pt>
                <c:pt idx="27" formatCode="0.0%">
                  <c:v>2.0899000000000001E-2</c:v>
                </c:pt>
                <c:pt idx="28" formatCode="0.0%">
                  <c:v>2.3355000000000001E-2</c:v>
                </c:pt>
                <c:pt idx="29" formatCode="0.0%">
                  <c:v>2.3344E-2</c:v>
                </c:pt>
                <c:pt idx="30" formatCode="0.0%">
                  <c:v>2.3344E-2</c:v>
                </c:pt>
                <c:pt idx="31" formatCode="0.0%">
                  <c:v>2.3366000000000001E-2</c:v>
                </c:pt>
                <c:pt idx="32" formatCode="0.0%">
                  <c:v>2.3376999999999998E-2</c:v>
                </c:pt>
                <c:pt idx="33" formatCode="0.0%">
                  <c:v>2.3376999999999998E-2</c:v>
                </c:pt>
                <c:pt idx="34" formatCode="0.0%">
                  <c:v>2.1018999999999999E-2</c:v>
                </c:pt>
                <c:pt idx="35" formatCode="0.0%">
                  <c:v>2.1194000000000001E-2</c:v>
                </c:pt>
                <c:pt idx="36" formatCode="0.0%">
                  <c:v>2.1194000000000001E-2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AA-4947-8E2E-276DEB5E2587}"/>
            </c:ext>
          </c:extLst>
        </c:ser>
        <c:ser>
          <c:idx val="7"/>
          <c:order val="8"/>
          <c:tx>
            <c:v>PY 17</c:v>
          </c:tx>
          <c:spPr>
            <a:ln w="19050">
              <a:solidFill>
                <a:srgbClr val="800080"/>
              </a:solidFill>
            </a:ln>
          </c:spPr>
          <c:marker>
            <c:symbol val="none"/>
          </c:marker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3'!$CG$49:$DQ$49</c:f>
              <c:numCache>
                <c:formatCode>0.0%</c:formatCode>
                <c:ptCount val="37"/>
                <c:pt idx="3">
                  <c:v>8.345E-3</c:v>
                </c:pt>
                <c:pt idx="4">
                  <c:v>7.626E-3</c:v>
                </c:pt>
                <c:pt idx="5">
                  <c:v>6.9290000000000003E-3</c:v>
                </c:pt>
                <c:pt idx="6">
                  <c:v>5.7340000000000004E-3</c:v>
                </c:pt>
                <c:pt idx="7">
                  <c:v>3.5669999999999999E-3</c:v>
                </c:pt>
                <c:pt idx="8">
                  <c:v>8.064E-3</c:v>
                </c:pt>
                <c:pt idx="9">
                  <c:v>1.5025E-2</c:v>
                </c:pt>
                <c:pt idx="10">
                  <c:v>1.5472E-2</c:v>
                </c:pt>
                <c:pt idx="11">
                  <c:v>1.7204000000000001E-2</c:v>
                </c:pt>
                <c:pt idx="12">
                  <c:v>2.1481E-2</c:v>
                </c:pt>
                <c:pt idx="13">
                  <c:v>2.1481E-2</c:v>
                </c:pt>
                <c:pt idx="14">
                  <c:v>2.1489999999999999E-2</c:v>
                </c:pt>
                <c:pt idx="15">
                  <c:v>2.1489999999999999E-2</c:v>
                </c:pt>
                <c:pt idx="16">
                  <c:v>2.5711999999999999E-2</c:v>
                </c:pt>
                <c:pt idx="17">
                  <c:v>2.5711999999999999E-2</c:v>
                </c:pt>
                <c:pt idx="18">
                  <c:v>2.5722999999999999E-2</c:v>
                </c:pt>
                <c:pt idx="19">
                  <c:v>2.5734E-2</c:v>
                </c:pt>
                <c:pt idx="20">
                  <c:v>2.5745000000000001E-2</c:v>
                </c:pt>
                <c:pt idx="21">
                  <c:v>2.5745000000000001E-2</c:v>
                </c:pt>
                <c:pt idx="22">
                  <c:v>2.5745000000000001E-2</c:v>
                </c:pt>
                <c:pt idx="23">
                  <c:v>2.4937999999999998E-2</c:v>
                </c:pt>
                <c:pt idx="24">
                  <c:v>2.4892999999999998E-2</c:v>
                </c:pt>
                <c:pt idx="25">
                  <c:v>2.4892999999999998E-2</c:v>
                </c:pt>
                <c:pt idx="26">
                  <c:v>2.4892999999999998E-2</c:v>
                </c:pt>
                <c:pt idx="27">
                  <c:v>9.5160000000000002E-3</c:v>
                </c:pt>
                <c:pt idx="28">
                  <c:v>9.5160000000000002E-3</c:v>
                </c:pt>
                <c:pt idx="29">
                  <c:v>9.6819999999999996E-3</c:v>
                </c:pt>
                <c:pt idx="30">
                  <c:v>7.0949999999999997E-3</c:v>
                </c:pt>
                <c:pt idx="31">
                  <c:v>7.1219999999999999E-3</c:v>
                </c:pt>
                <c:pt idx="32">
                  <c:v>6.79E-3</c:v>
                </c:pt>
                <c:pt idx="33">
                  <c:v>6.79E-3</c:v>
                </c:pt>
                <c:pt idx="34">
                  <c:v>4.248E-3</c:v>
                </c:pt>
                <c:pt idx="35">
                  <c:v>4.248E-3</c:v>
                </c:pt>
                <c:pt idx="36">
                  <c:v>4.248E-3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8-4243-B7BB-643D7B3A9C24}"/>
            </c:ext>
          </c:extLst>
        </c:ser>
        <c:ser>
          <c:idx val="9"/>
          <c:order val="9"/>
          <c:tx>
            <c:v>PY 16</c:v>
          </c:tx>
          <c:spPr>
            <a:ln w="19050">
              <a:solidFill>
                <a:srgbClr val="F858BF"/>
              </a:solidFill>
            </a:ln>
          </c:spPr>
          <c:marker>
            <c:symbol val="none"/>
          </c:marker>
          <c:cat>
            <c:numRef>
              <c:f>'Exhibit 3'!$CG$40:$DQ$40</c:f>
              <c:numCache>
                <c:formatCode>m/yy\ </c:formatCode>
                <c:ptCount val="37"/>
                <c:pt idx="0">
                  <c:v>42825</c:v>
                </c:pt>
                <c:pt idx="1">
                  <c:v>42916</c:v>
                </c:pt>
                <c:pt idx="2">
                  <c:v>43008</c:v>
                </c:pt>
                <c:pt idx="3">
                  <c:v>43100</c:v>
                </c:pt>
                <c:pt idx="4">
                  <c:v>43190</c:v>
                </c:pt>
                <c:pt idx="5">
                  <c:v>43281</c:v>
                </c:pt>
                <c:pt idx="6">
                  <c:v>43373</c:v>
                </c:pt>
                <c:pt idx="7">
                  <c:v>43465</c:v>
                </c:pt>
                <c:pt idx="8">
                  <c:v>43555</c:v>
                </c:pt>
                <c:pt idx="9">
                  <c:v>43646</c:v>
                </c:pt>
                <c:pt idx="10">
                  <c:v>43738</c:v>
                </c:pt>
                <c:pt idx="11">
                  <c:v>43830</c:v>
                </c:pt>
                <c:pt idx="12">
                  <c:v>43921</c:v>
                </c:pt>
                <c:pt idx="13">
                  <c:v>44012</c:v>
                </c:pt>
                <c:pt idx="14">
                  <c:v>44104</c:v>
                </c:pt>
                <c:pt idx="15">
                  <c:v>44196</c:v>
                </c:pt>
                <c:pt idx="16">
                  <c:v>44286</c:v>
                </c:pt>
                <c:pt idx="17">
                  <c:v>44377</c:v>
                </c:pt>
                <c:pt idx="18">
                  <c:v>44469</c:v>
                </c:pt>
                <c:pt idx="19">
                  <c:v>44561</c:v>
                </c:pt>
                <c:pt idx="20">
                  <c:v>44651</c:v>
                </c:pt>
                <c:pt idx="21">
                  <c:v>44742</c:v>
                </c:pt>
                <c:pt idx="22">
                  <c:v>44834</c:v>
                </c:pt>
                <c:pt idx="23">
                  <c:v>44926</c:v>
                </c:pt>
                <c:pt idx="24">
                  <c:v>45016</c:v>
                </c:pt>
                <c:pt idx="25">
                  <c:v>45107</c:v>
                </c:pt>
                <c:pt idx="26">
                  <c:v>45199</c:v>
                </c:pt>
                <c:pt idx="27">
                  <c:v>45291</c:v>
                </c:pt>
                <c:pt idx="28">
                  <c:v>45382</c:v>
                </c:pt>
                <c:pt idx="29">
                  <c:v>45473</c:v>
                </c:pt>
                <c:pt idx="30">
                  <c:v>45565</c:v>
                </c:pt>
                <c:pt idx="31">
                  <c:v>45657</c:v>
                </c:pt>
                <c:pt idx="32">
                  <c:v>45747</c:v>
                </c:pt>
                <c:pt idx="33">
                  <c:v>45838</c:v>
                </c:pt>
                <c:pt idx="34">
                  <c:v>45930</c:v>
                </c:pt>
                <c:pt idx="35">
                  <c:v>46022</c:v>
                </c:pt>
                <c:pt idx="36">
                  <c:v>46112</c:v>
                </c:pt>
              </c:numCache>
            </c:numRef>
          </c:cat>
          <c:val>
            <c:numRef>
              <c:f>'Exhibit 3'!$CG$50:$DQ$50</c:f>
              <c:numCache>
                <c:formatCode>0.0%</c:formatCode>
                <c:ptCount val="37"/>
                <c:pt idx="0">
                  <c:v>2.0382999999999998E-2</c:v>
                </c:pt>
                <c:pt idx="1">
                  <c:v>1.7484E-2</c:v>
                </c:pt>
                <c:pt idx="2">
                  <c:v>1.0529E-2</c:v>
                </c:pt>
                <c:pt idx="3">
                  <c:v>8.6899999999999998E-3</c:v>
                </c:pt>
                <c:pt idx="4">
                  <c:v>6.9740000000000002E-3</c:v>
                </c:pt>
                <c:pt idx="5">
                  <c:v>6.0070000000000002E-3</c:v>
                </c:pt>
                <c:pt idx="6">
                  <c:v>5.1939999999999998E-3</c:v>
                </c:pt>
                <c:pt idx="7">
                  <c:v>4.372E-3</c:v>
                </c:pt>
                <c:pt idx="8">
                  <c:v>4.3759999999999997E-3</c:v>
                </c:pt>
                <c:pt idx="9">
                  <c:v>4.385E-3</c:v>
                </c:pt>
                <c:pt idx="10">
                  <c:v>4.3829999999999997E-3</c:v>
                </c:pt>
                <c:pt idx="11">
                  <c:v>3.555E-3</c:v>
                </c:pt>
                <c:pt idx="12">
                  <c:v>3.555E-3</c:v>
                </c:pt>
                <c:pt idx="13">
                  <c:v>3.5569999999999998E-3</c:v>
                </c:pt>
                <c:pt idx="14">
                  <c:v>3.5569999999999998E-3</c:v>
                </c:pt>
                <c:pt idx="15">
                  <c:v>3.558E-3</c:v>
                </c:pt>
                <c:pt idx="16">
                  <c:v>3.558E-3</c:v>
                </c:pt>
                <c:pt idx="17">
                  <c:v>3.558E-3</c:v>
                </c:pt>
                <c:pt idx="18">
                  <c:v>3.558E-3</c:v>
                </c:pt>
                <c:pt idx="19">
                  <c:v>3.6310000000000001E-3</c:v>
                </c:pt>
                <c:pt idx="20">
                  <c:v>3.6129999999999999E-3</c:v>
                </c:pt>
                <c:pt idx="21">
                  <c:v>3.7039999999999998E-3</c:v>
                </c:pt>
                <c:pt idx="22">
                  <c:v>3.7039999999999998E-3</c:v>
                </c:pt>
                <c:pt idx="23">
                  <c:v>3.7039999999999998E-3</c:v>
                </c:pt>
                <c:pt idx="24">
                  <c:v>1.072E-3</c:v>
                </c:pt>
                <c:pt idx="25">
                  <c:v>1.072E-3</c:v>
                </c:pt>
                <c:pt idx="26">
                  <c:v>1.072E-3</c:v>
                </c:pt>
                <c:pt idx="27">
                  <c:v>1.072E-3</c:v>
                </c:pt>
                <c:pt idx="28">
                  <c:v>1.072E-3</c:v>
                </c:pt>
                <c:pt idx="29">
                  <c:v>1.0709999999999999E-3</c:v>
                </c:pt>
                <c:pt idx="30">
                  <c:v>1.0709999999999999E-3</c:v>
                </c:pt>
                <c:pt idx="31">
                  <c:v>1.0709999999999999E-3</c:v>
                </c:pt>
                <c:pt idx="32">
                  <c:v>1.096E-3</c:v>
                </c:pt>
                <c:pt idx="33">
                  <c:v>1.096E-3</c:v>
                </c:pt>
                <c:pt idx="34">
                  <c:v>-1.5590000000000001E-3</c:v>
                </c:pt>
                <c:pt idx="35">
                  <c:v>-1.5590000000000001E-3</c:v>
                </c:pt>
                <c:pt idx="36">
                  <c:v>-5.1640000000000002E-3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5-426A-B0C9-F6810CA41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281952"/>
        <c:axId val="274283128"/>
      </c:lineChart>
      <c:catAx>
        <c:axId val="27428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Date of </a:t>
                </a:r>
                <a:r>
                  <a:rPr lang="en-US" baseline="0"/>
                  <a:t>Data Valuation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0329272131762728"/>
              <c:y val="0.9337367707877815"/>
            </c:manualLayout>
          </c:layout>
          <c:overlay val="0"/>
          <c:spPr>
            <a:solidFill>
              <a:srgbClr val="C0C0C0"/>
            </a:solidFill>
            <a:ln w="25400">
              <a:noFill/>
            </a:ln>
          </c:spPr>
        </c:title>
        <c:numFmt formatCode="m/d/yy;@" sourceLinked="0"/>
        <c:majorTickMark val="out"/>
        <c:minorTickMark val="out"/>
        <c:tickLblPos val="low"/>
        <c:spPr>
          <a:ln w="9525">
            <a:noFill/>
          </a:ln>
        </c:spPr>
        <c:txPr>
          <a:bodyPr rot="-45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veranda"/>
                <a:ea typeface="veranda"/>
                <a:cs typeface="veranda"/>
              </a:defRPr>
            </a:pPr>
            <a:endParaRPr lang="en-US"/>
          </a:p>
        </c:txPr>
        <c:crossAx val="274283128"/>
        <c:crosses val="autoZero"/>
        <c:auto val="0"/>
        <c:lblAlgn val="ctr"/>
        <c:lblOffset val="90"/>
        <c:tickLblSkip val="1"/>
        <c:tickMarkSkip val="2"/>
        <c:noMultiLvlLbl val="0"/>
      </c:catAx>
      <c:valAx>
        <c:axId val="274283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Estimated Burden</a:t>
                </a:r>
              </a:p>
            </c:rich>
          </c:tx>
          <c:layout>
            <c:manualLayout>
              <c:xMode val="edge"/>
              <c:yMode val="edge"/>
              <c:x val="4.5979345249047744E-4"/>
              <c:y val="0.38152690995319144"/>
            </c:manualLayout>
          </c:layout>
          <c:overlay val="0"/>
          <c:spPr>
            <a:solidFill>
              <a:srgbClr val="C0C0C0"/>
            </a:solidFill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anda"/>
                <a:ea typeface="veranda"/>
                <a:cs typeface="veranda"/>
              </a:defRPr>
            </a:pPr>
            <a:endParaRPr lang="en-US"/>
          </a:p>
        </c:txPr>
        <c:crossAx val="274281952"/>
        <c:crosses val="autoZero"/>
        <c:crossBetween val="between"/>
      </c:valAx>
      <c:spPr>
        <a:solidFill>
          <a:srgbClr val="FFFFFF"/>
        </a:solidFill>
        <a:ln w="12700">
          <a:solidFill>
            <a:srgbClr val="FFFFFF">
              <a:alpha val="94000"/>
            </a:srgb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32525532754002"/>
          <c:y val="0.34612149384941338"/>
          <c:w val="8.9186600275912561E-2"/>
          <c:h val="0.40534035634624171"/>
        </c:manualLayout>
      </c:layout>
      <c:overlay val="1"/>
      <c:spPr>
        <a:solidFill>
          <a:schemeClr val="bg1"/>
        </a:solidFill>
        <a:ln w="19050" cap="rnd">
          <a:solidFill>
            <a:srgbClr val="FFFFFF"/>
          </a:solidFill>
        </a:ln>
      </c:spPr>
    </c:legend>
    <c:plotVisOnly val="1"/>
    <c:dispBlanksAs val="span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&amp;R&amp;"Verdana,Regular"Exhibit 3</c:oddHeader>
    </c:headerFooter>
    <c:pageMargins b="1" l="0.75000000000000056" r="0.75000000000000056" t="1" header="0.5" footer="0.5"/>
    <c:pageSetup orientation="landscape" horizontalDpi="1200" verticalDpi="1200"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-1</xdr:colOff>
      <xdr:row>48</xdr:row>
      <xdr:rowOff>53069</xdr:rowOff>
    </xdr:from>
    <xdr:to>
      <xdr:col>11</xdr:col>
      <xdr:colOff>1083468</xdr:colOff>
      <xdr:row>85</xdr:row>
      <xdr:rowOff>130969</xdr:rowOff>
    </xdr:to>
    <xdr:graphicFrame macro="">
      <xdr:nvGraphicFramePr>
        <xdr:cNvPr id="14338" name="Chart 2">
          <a:extLst>
            <a:ext uri="{FF2B5EF4-FFF2-40B4-BE49-F238E27FC236}">
              <a16:creationId xmlns:a16="http://schemas.microsoft.com/office/drawing/2014/main" id="{00000000-0008-0000-0200-000002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50</xdr:row>
      <xdr:rowOff>76200</xdr:rowOff>
    </xdr:from>
    <xdr:to>
      <xdr:col>16</xdr:col>
      <xdr:colOff>0</xdr:colOff>
      <xdr:row>53</xdr:row>
      <xdr:rowOff>133350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300-000001400000}"/>
            </a:ext>
          </a:extLst>
        </xdr:cNvPr>
        <xdr:cNvSpPr txBox="1">
          <a:spLocks noChangeArrowheads="1"/>
        </xdr:cNvSpPr>
      </xdr:nvSpPr>
      <xdr:spPr bwMode="auto">
        <a:xfrm>
          <a:off x="361950" y="6243638"/>
          <a:ext cx="10401300" cy="557212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Verdana"/>
            </a:rPr>
            <a:t>*Estimated Residual Market Burden =   (Loss Ratio+Expense Ratio-1.00) * </a:t>
          </a:r>
          <a:r>
            <a:rPr lang="en-US" sz="1000" b="1" i="0" u="sng" strike="noStrike">
              <a:solidFill>
                <a:srgbClr val="000000"/>
              </a:solidFill>
              <a:latin typeface="Verdana"/>
            </a:rPr>
            <a:t>Estimated Ultimate Written Premium</a:t>
          </a:r>
          <a:r>
            <a:rPr lang="en-US" sz="1000" b="1" i="0" strike="noStrike">
              <a:solidFill>
                <a:srgbClr val="000000"/>
              </a:solidFill>
              <a:latin typeface="Verdana"/>
            </a:rPr>
            <a:t>  *  VDAC Factor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Verdana"/>
            </a:rPr>
            <a:t>                                                                                                  CY Assessable Base</a:t>
          </a:r>
        </a:p>
      </xdr:txBody>
    </xdr:sp>
    <xdr:clientData/>
  </xdr:twoCellAnchor>
  <xdr:twoCellAnchor>
    <xdr:from>
      <xdr:col>4</xdr:col>
      <xdr:colOff>28575</xdr:colOff>
      <xdr:row>51</xdr:row>
      <xdr:rowOff>85725</xdr:rowOff>
    </xdr:from>
    <xdr:to>
      <xdr:col>6</xdr:col>
      <xdr:colOff>76200</xdr:colOff>
      <xdr:row>51</xdr:row>
      <xdr:rowOff>85725</xdr:rowOff>
    </xdr:to>
    <xdr:sp macro="" textlink="">
      <xdr:nvSpPr>
        <xdr:cNvPr id="16386" name="Line 2">
          <a:extLst>
            <a:ext uri="{FF2B5EF4-FFF2-40B4-BE49-F238E27FC236}">
              <a16:creationId xmlns:a16="http://schemas.microsoft.com/office/drawing/2014/main" id="{00000000-0008-0000-0300-000002400000}"/>
            </a:ext>
          </a:extLst>
        </xdr:cNvPr>
        <xdr:cNvSpPr>
          <a:spLocks noChangeShapeType="1"/>
        </xdr:cNvSpPr>
      </xdr:nvSpPr>
      <xdr:spPr bwMode="auto">
        <a:xfrm>
          <a:off x="4162425" y="6457950"/>
          <a:ext cx="1781175" cy="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0</xdr:col>
      <xdr:colOff>754855</xdr:colOff>
      <xdr:row>53</xdr:row>
      <xdr:rowOff>107156</xdr:rowOff>
    </xdr:from>
    <xdr:to>
      <xdr:col>14</xdr:col>
      <xdr:colOff>833437</xdr:colOff>
      <xdr:row>81</xdr:row>
      <xdr:rowOff>154781</xdr:rowOff>
    </xdr:to>
    <xdr:graphicFrame macro="">
      <xdr:nvGraphicFramePr>
        <xdr:cNvPr id="16388" name="Chart 4">
          <a:extLst>
            <a:ext uri="{FF2B5EF4-FFF2-40B4-BE49-F238E27FC236}">
              <a16:creationId xmlns:a16="http://schemas.microsoft.com/office/drawing/2014/main" id="{00000000-0008-0000-0300-000004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133350</xdr:rowOff>
    </xdr:from>
    <xdr:to>
      <xdr:col>12</xdr:col>
      <xdr:colOff>219075</xdr:colOff>
      <xdr:row>35</xdr:row>
      <xdr:rowOff>0</xdr:rowOff>
    </xdr:to>
    <xdr:graphicFrame macro="">
      <xdr:nvGraphicFramePr>
        <xdr:cNvPr id="2049" name="Chart 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280988</xdr:colOff>
      <xdr:row>1</xdr:row>
      <xdr:rowOff>79374</xdr:rowOff>
    </xdr:from>
    <xdr:to>
      <xdr:col>14</xdr:col>
      <xdr:colOff>433388</xdr:colOff>
      <xdr:row>30</xdr:row>
      <xdr:rowOff>126999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354010</xdr:colOff>
      <xdr:row>13</xdr:row>
      <xdr:rowOff>144400</xdr:rowOff>
    </xdr:from>
    <xdr:to>
      <xdr:col>7</xdr:col>
      <xdr:colOff>424200</xdr:colOff>
      <xdr:row>15</xdr:row>
      <xdr:rowOff>36126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3449635" y="2208150"/>
          <a:ext cx="586128" cy="20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800" b="1" i="0" strike="noStrike">
              <a:solidFill>
                <a:schemeClr val="accent2">
                  <a:lumMod val="75000"/>
                </a:schemeClr>
              </a:solidFill>
              <a:latin typeface="Verdana"/>
            </a:rPr>
            <a:t>PY 21</a:t>
          </a:r>
        </a:p>
      </xdr:txBody>
    </xdr:sp>
    <xdr:clientData/>
  </xdr:twoCellAnchor>
  <xdr:twoCellAnchor>
    <xdr:from>
      <xdr:col>3</xdr:col>
      <xdr:colOff>86288</xdr:colOff>
      <xdr:row>19</xdr:row>
      <xdr:rowOff>37857</xdr:rowOff>
    </xdr:from>
    <xdr:to>
      <xdr:col>3</xdr:col>
      <xdr:colOff>458696</xdr:colOff>
      <xdr:row>20</xdr:row>
      <xdr:rowOff>110963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634101" y="3054107"/>
          <a:ext cx="372408" cy="231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800" b="1" i="0" strike="noStrike">
              <a:solidFill>
                <a:srgbClr val="00B050"/>
              </a:solidFill>
              <a:latin typeface="Verdana"/>
            </a:rPr>
            <a:t>PY18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0.08912</cdr:x>
      <cdr:y>0.55099</cdr:y>
    </cdr:from>
    <cdr:to>
      <cdr:x>0.13935</cdr:x>
      <cdr:y>0.59345</cdr:y>
    </cdr:to>
    <cdr:sp macro="" textlink="">
      <cdr:nvSpPr>
        <cdr:cNvPr id="3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7294" y="2562857"/>
          <a:ext cx="370472" cy="1974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858BF"/>
              </a:solidFill>
              <a:latin typeface="Verdana"/>
            </a:rPr>
            <a:t>PY16</a:t>
          </a:r>
        </a:p>
      </cdr:txBody>
    </cdr:sp>
  </cdr:relSizeAnchor>
  <cdr:relSizeAnchor xmlns:cdr="http://schemas.openxmlformats.org/drawingml/2006/chartDrawing">
    <cdr:from>
      <cdr:x>0.3551</cdr:x>
      <cdr:y>0.50029</cdr:y>
    </cdr:from>
    <cdr:to>
      <cdr:x>0.40533</cdr:x>
      <cdr:y>0.54275</cdr:y>
    </cdr:to>
    <cdr:sp macro="" textlink="">
      <cdr:nvSpPr>
        <cdr:cNvPr id="4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9046" y="2327020"/>
          <a:ext cx="370472" cy="1974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800080"/>
              </a:solidFill>
              <a:latin typeface="Verdana"/>
            </a:rPr>
            <a:t>PY17</a:t>
          </a:r>
        </a:p>
      </cdr:txBody>
    </cdr:sp>
  </cdr:relSizeAnchor>
  <cdr:relSizeAnchor xmlns:cdr="http://schemas.openxmlformats.org/drawingml/2006/chartDrawing">
    <cdr:from>
      <cdr:x>0.3717</cdr:x>
      <cdr:y>0.72938</cdr:y>
    </cdr:from>
    <cdr:to>
      <cdr:x>0.43627</cdr:x>
      <cdr:y>0.77033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741483" y="3392634"/>
          <a:ext cx="476237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PY</a:t>
          </a:r>
          <a:r>
            <a:rPr lang="en-US" sz="800" b="1" baseline="0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 19</a:t>
          </a:r>
          <a:endParaRPr lang="en-US" sz="800" b="1">
            <a:solidFill>
              <a:srgbClr val="FF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0.87565</cdr:x>
      <cdr:y>0.48929</cdr:y>
    </cdr:from>
    <cdr:to>
      <cdr:x>1</cdr:x>
      <cdr:y>0.68206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6634162" y="232092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0.68564</cdr:x>
      <cdr:y>0.73043</cdr:y>
    </cdr:from>
    <cdr:to>
      <cdr:x>0.77113</cdr:x>
      <cdr:y>0.78665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056964" y="3397503"/>
          <a:ext cx="630534" cy="261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 b="1">
              <a:solidFill>
                <a:srgbClr val="0070C0"/>
              </a:solidFill>
              <a:latin typeface="Verdana" panose="020B0604030504040204" pitchFamily="34" charset="0"/>
              <a:ea typeface="Verdana" panose="020B0604030504040204" pitchFamily="34" charset="0"/>
            </a:rPr>
            <a:t>PY 20</a:t>
          </a:r>
        </a:p>
      </cdr:txBody>
    </cdr:sp>
  </cdr:relSizeAnchor>
  <cdr:relSizeAnchor xmlns:cdr="http://schemas.openxmlformats.org/drawingml/2006/chartDrawing">
    <cdr:from>
      <cdr:x>0.7921</cdr:x>
      <cdr:y>0.32463</cdr:y>
    </cdr:from>
    <cdr:to>
      <cdr:x>0.84521</cdr:x>
      <cdr:y>0.35475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5824537" y="1539876"/>
          <a:ext cx="390525" cy="142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0.58073</cdr:x>
      <cdr:y>0.57283</cdr:y>
    </cdr:from>
    <cdr:to>
      <cdr:x>0.65068</cdr:x>
      <cdr:y>0.62303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283160" y="2664431"/>
          <a:ext cx="515918" cy="233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en-US" sz="800" b="1" i="0">
              <a:solidFill>
                <a:srgbClr val="FFC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PY 22</a:t>
          </a:r>
          <a:endParaRPr lang="en-US" sz="800">
            <a:solidFill>
              <a:srgbClr val="FFC000"/>
            </a:solidFill>
            <a:effectLst/>
            <a:latin typeface="Verdana" panose="020B0604030504040204" pitchFamily="34" charset="0"/>
            <a:ea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0.78174</cdr:x>
      <cdr:y>0.21821</cdr:y>
    </cdr:from>
    <cdr:to>
      <cdr:x>0.84132</cdr:x>
      <cdr:y>0.24431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D1F94C76-C7A6-5DCF-CBC4-46F842693228}"/>
            </a:ext>
          </a:extLst>
        </cdr:cNvPr>
        <cdr:cNvSpPr txBox="1"/>
      </cdr:nvSpPr>
      <cdr:spPr>
        <a:xfrm xmlns:a="http://schemas.openxmlformats.org/drawingml/2006/main">
          <a:off x="5748337" y="1035051"/>
          <a:ext cx="438150" cy="123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0.68684</cdr:x>
      <cdr:y>0.54559</cdr:y>
    </cdr:from>
    <cdr:to>
      <cdr:x>0.75679</cdr:x>
      <cdr:y>0.59579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77AEC764-4D33-9489-63A2-3223B74876B8}"/>
            </a:ext>
          </a:extLst>
        </cdr:cNvPr>
        <cdr:cNvSpPr txBox="1"/>
      </cdr:nvSpPr>
      <cdr:spPr>
        <a:xfrm xmlns:a="http://schemas.openxmlformats.org/drawingml/2006/main">
          <a:off x="5065802" y="2537727"/>
          <a:ext cx="515918" cy="233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800" b="1" i="0">
              <a:solidFill>
                <a:schemeClr val="accent3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PY 23</a:t>
          </a:r>
          <a:endParaRPr lang="en-US" sz="800">
            <a:solidFill>
              <a:schemeClr val="accent3"/>
            </a:solidFill>
            <a:effectLst/>
            <a:latin typeface="Verdana" panose="020B0604030504040204" pitchFamily="34" charset="0"/>
            <a:ea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0.80026</cdr:x>
      <cdr:y>0.41638</cdr:y>
    </cdr:from>
    <cdr:to>
      <cdr:x>0.8573</cdr:x>
      <cdr:y>0.44881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BF905576-056D-6A50-A9B2-08A4EBE7CA44}"/>
            </a:ext>
          </a:extLst>
        </cdr:cNvPr>
        <cdr:cNvSpPr txBox="1"/>
      </cdr:nvSpPr>
      <cdr:spPr>
        <a:xfrm xmlns:a="http://schemas.openxmlformats.org/drawingml/2006/main">
          <a:off x="5902325" y="1936751"/>
          <a:ext cx="420687" cy="150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0.73999</cdr:x>
      <cdr:y>0.4744</cdr:y>
    </cdr:from>
    <cdr:to>
      <cdr:x>0.8347</cdr:x>
      <cdr:y>0.51535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7370D854-A8BA-13C4-2CAB-64D352356BE2}"/>
            </a:ext>
          </a:extLst>
        </cdr:cNvPr>
        <cdr:cNvSpPr txBox="1"/>
      </cdr:nvSpPr>
      <cdr:spPr>
        <a:xfrm xmlns:a="http://schemas.openxmlformats.org/drawingml/2006/main">
          <a:off x="5457818" y="2206632"/>
          <a:ext cx="69853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 b="1" kern="1200">
              <a:solidFill>
                <a:srgbClr val="12C3D6"/>
              </a:solidFill>
              <a:latin typeface="Verdana" panose="020B0604030504040204" pitchFamily="34" charset="0"/>
              <a:ea typeface="Verdana" panose="020B0604030504040204" pitchFamily="34" charset="0"/>
            </a:rPr>
            <a:t>PY 24</a:t>
          </a:r>
        </a:p>
      </cdr:txBody>
    </cdr:sp>
  </cdr:relSizeAnchor>
  <cdr:relSizeAnchor xmlns:cdr="http://schemas.openxmlformats.org/drawingml/2006/chartDrawing">
    <cdr:from>
      <cdr:x>0.79036</cdr:x>
      <cdr:y>0.49215</cdr:y>
    </cdr:from>
    <cdr:to>
      <cdr:x>0.86983</cdr:x>
      <cdr:y>0.53713</cdr:y>
    </cdr:to>
    <cdr:sp macro="" textlink="">
      <cdr:nvSpPr>
        <cdr:cNvPr id="14" name="Text Box 16">
          <a:extLst xmlns:a="http://schemas.openxmlformats.org/drawingml/2006/main">
            <a:ext uri="{FF2B5EF4-FFF2-40B4-BE49-F238E27FC236}">
              <a16:creationId xmlns:a16="http://schemas.microsoft.com/office/drawing/2014/main" id="{00000000-0008-0000-0600-0000100000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29306" y="2289177"/>
          <a:ext cx="586133" cy="2092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C00000"/>
              </a:solidFill>
              <a:latin typeface="Verdana"/>
            </a:rPr>
            <a:t>PY 25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342900</xdr:colOff>
          <xdr:row>0</xdr:row>
          <xdr:rowOff>0</xdr:rowOff>
        </xdr:from>
        <xdr:to>
          <xdr:col>4</xdr:col>
          <xdr:colOff>104775</xdr:colOff>
          <xdr:row>0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GenTable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0</xdr:row>
          <xdr:rowOff>0</xdr:rowOff>
        </xdr:from>
        <xdr:to>
          <xdr:col>5</xdr:col>
          <xdr:colOff>104775</xdr:colOff>
          <xdr:row>0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C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GenTable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iling2014\Section%20VII\Section%20VII%20-%20Profi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$$TOC"/>
      <sheetName val="Misc Inputs"/>
      <sheetName val="Cash_Flow_Patterns"/>
      <sheetName val="New CF Patterns"/>
      <sheetName val="Expense_Flows_for_Tax"/>
      <sheetName val="AY Loss Payout for Tax"/>
      <sheetName val="Tax Cr_DTA_Monthly"/>
      <sheetName val="A1"/>
      <sheetName val="B1"/>
      <sheetName val="B2"/>
      <sheetName val="C1"/>
      <sheetName val="C2_1"/>
      <sheetName val="C2_2-C2_4"/>
      <sheetName val="C2_5"/>
      <sheetName val="C2_6"/>
      <sheetName val="C2_7"/>
      <sheetName val="C3"/>
      <sheetName val="C4"/>
      <sheetName val="C5_1"/>
      <sheetName val="C5_2"/>
      <sheetName val="D1"/>
      <sheetName val="E1"/>
      <sheetName val="E2_1"/>
      <sheetName val="E2_2"/>
      <sheetName val="E3_1"/>
      <sheetName val="E3_2"/>
      <sheetName val="E4"/>
      <sheetName val="F1"/>
      <sheetName val="G1"/>
      <sheetName val="H1"/>
      <sheetName val="I1"/>
      <sheetName val="I2"/>
      <sheetName val="J1_1"/>
      <sheetName val="J1_2"/>
      <sheetName val="J2_1"/>
      <sheetName val="J2_2"/>
      <sheetName val="J2_3"/>
      <sheetName val="J3"/>
      <sheetName val="J4"/>
      <sheetName val="J5"/>
      <sheetName val="J6_1"/>
      <sheetName val="J6_2"/>
    </sheetNames>
    <sheetDataSet>
      <sheetData sheetId="0" refreshError="1"/>
      <sheetData sheetId="1" refreshError="1">
        <row r="4">
          <cell r="B4">
            <v>41640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4" Type="http://schemas.openxmlformats.org/officeDocument/2006/relationships/ctrlProp" Target="../ctrlProps/ctrlProp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2:S39"/>
  <sheetViews>
    <sheetView zoomScale="80" zoomScaleNormal="80" workbookViewId="0">
      <pane xSplit="1" topLeftCell="B1" activePane="topRight" state="frozen"/>
      <selection activeCell="K37" sqref="K37"/>
      <selection pane="topRight" activeCell="K37" sqref="K37"/>
    </sheetView>
  </sheetViews>
  <sheetFormatPr defaultColWidth="9.140625" defaultRowHeight="12.75" x14ac:dyDescent="0.2"/>
  <cols>
    <col min="1" max="1" width="9.28515625" style="221" bestFit="1" customWidth="1"/>
    <col min="2" max="2" width="1.5703125" style="221" customWidth="1"/>
    <col min="3" max="3" width="16.28515625" style="221" customWidth="1"/>
    <col min="4" max="4" width="1.5703125" style="221" customWidth="1"/>
    <col min="5" max="5" width="20.28515625" style="221" customWidth="1"/>
    <col min="6" max="6" width="1.5703125" style="221" customWidth="1"/>
    <col min="7" max="7" width="14.5703125" style="221" customWidth="1"/>
    <col min="8" max="8" width="1.5703125" style="221" customWidth="1"/>
    <col min="9" max="9" width="19.28515625" style="221" customWidth="1"/>
    <col min="10" max="10" width="1.5703125" style="221" customWidth="1"/>
    <col min="11" max="11" width="15.85546875" style="221" bestFit="1" customWidth="1"/>
    <col min="12" max="12" width="1.5703125" style="221" customWidth="1"/>
    <col min="13" max="13" width="16.7109375" style="223" bestFit="1" customWidth="1"/>
    <col min="14" max="14" width="1.5703125" style="221" customWidth="1"/>
    <col min="15" max="15" width="15.7109375" style="221" bestFit="1" customWidth="1"/>
    <col min="16" max="16" width="1.5703125" style="221" customWidth="1"/>
    <col min="17" max="17" width="9.28515625" style="221" bestFit="1" customWidth="1"/>
    <col min="18" max="18" width="1.5703125" style="221" customWidth="1"/>
    <col min="19" max="19" width="17" style="221" bestFit="1" customWidth="1"/>
    <col min="20" max="21" width="9.140625" style="221"/>
    <col min="22" max="22" width="12" style="221" bestFit="1" customWidth="1"/>
    <col min="23" max="23" width="9.140625" style="221"/>
    <col min="24" max="24" width="11.42578125" style="221" customWidth="1"/>
    <col min="25" max="16384" width="9.140625" style="221"/>
  </cols>
  <sheetData>
    <row r="2" spans="1:19" ht="18.75" x14ac:dyDescent="0.3">
      <c r="A2" s="438" t="s">
        <v>9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</row>
    <row r="3" spans="1:19" x14ac:dyDescent="0.2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N3" s="223"/>
      <c r="O3" s="223"/>
      <c r="P3" s="223"/>
      <c r="Q3" s="223"/>
      <c r="R3" s="223"/>
      <c r="S3" s="223"/>
    </row>
    <row r="5" spans="1:19" x14ac:dyDescent="0.2">
      <c r="A5" s="221" t="s">
        <v>0</v>
      </c>
    </row>
    <row r="6" spans="1:19" x14ac:dyDescent="0.2">
      <c r="A6" s="221" t="s">
        <v>1</v>
      </c>
    </row>
    <row r="7" spans="1:19" x14ac:dyDescent="0.2">
      <c r="A7" s="221" t="s">
        <v>3</v>
      </c>
    </row>
    <row r="8" spans="1:19" x14ac:dyDescent="0.2">
      <c r="A8" s="221" t="s">
        <v>2</v>
      </c>
    </row>
    <row r="10" spans="1:19" x14ac:dyDescent="0.2">
      <c r="A10" s="221" t="s">
        <v>82</v>
      </c>
      <c r="E10" s="352">
        <v>46112</v>
      </c>
    </row>
    <row r="11" spans="1:19" x14ac:dyDescent="0.2">
      <c r="E11" s="377"/>
    </row>
    <row r="12" spans="1:19" s="223" customFormat="1" x14ac:dyDescent="0.2">
      <c r="A12" s="256" t="s">
        <v>11</v>
      </c>
      <c r="C12" s="256" t="s">
        <v>12</v>
      </c>
      <c r="E12" s="256" t="s">
        <v>13</v>
      </c>
      <c r="G12" s="256" t="s">
        <v>14</v>
      </c>
      <c r="I12" s="256" t="s">
        <v>15</v>
      </c>
      <c r="K12" s="256" t="s">
        <v>16</v>
      </c>
      <c r="M12" s="256" t="s">
        <v>17</v>
      </c>
      <c r="O12" s="256" t="s">
        <v>63</v>
      </c>
      <c r="Q12" s="256" t="s">
        <v>65</v>
      </c>
    </row>
    <row r="13" spans="1:19" s="228" customFormat="1" ht="39" thickBot="1" x14ac:dyDescent="0.25">
      <c r="A13" s="257" t="s">
        <v>8</v>
      </c>
      <c r="B13" s="257"/>
      <c r="C13" s="257" t="s">
        <v>4</v>
      </c>
      <c r="D13" s="257"/>
      <c r="E13" s="257" t="s">
        <v>204</v>
      </c>
      <c r="F13" s="257"/>
      <c r="G13" s="257" t="s">
        <v>5</v>
      </c>
      <c r="H13" s="257"/>
      <c r="I13" s="257" t="s">
        <v>22</v>
      </c>
      <c r="J13" s="257"/>
      <c r="K13" s="257" t="s">
        <v>19</v>
      </c>
      <c r="L13" s="257"/>
      <c r="M13" s="257" t="s">
        <v>10</v>
      </c>
      <c r="N13" s="257"/>
      <c r="O13" s="257" t="s">
        <v>6</v>
      </c>
      <c r="P13" s="257"/>
      <c r="Q13" s="257" t="s">
        <v>7</v>
      </c>
      <c r="R13" s="257"/>
    </row>
    <row r="14" spans="1:19" s="228" customFormat="1" x14ac:dyDescent="0.2">
      <c r="I14" s="251" t="s">
        <v>218</v>
      </c>
      <c r="K14" s="251" t="s">
        <v>227</v>
      </c>
    </row>
    <row r="15" spans="1:19" ht="13.5" thickBot="1" x14ac:dyDescent="0.25">
      <c r="A15" s="258"/>
      <c r="B15" s="258"/>
      <c r="C15" s="258"/>
      <c r="D15" s="259"/>
      <c r="E15" s="258"/>
      <c r="F15" s="258"/>
      <c r="G15" s="258"/>
      <c r="H15" s="258"/>
      <c r="I15" s="258"/>
      <c r="J15" s="258"/>
      <c r="K15" s="260"/>
      <c r="L15" s="258"/>
      <c r="M15" s="260"/>
      <c r="N15" s="258"/>
      <c r="O15" s="258"/>
      <c r="P15" s="258"/>
      <c r="Q15" s="258"/>
      <c r="R15" s="258"/>
    </row>
    <row r="16" spans="1:19" x14ac:dyDescent="0.2">
      <c r="A16" s="349">
        <v>2025</v>
      </c>
      <c r="C16" s="357">
        <v>0.8</v>
      </c>
      <c r="D16" s="378"/>
      <c r="E16" s="358">
        <v>81756700</v>
      </c>
      <c r="G16" s="361">
        <f>ROUND(I16/E16,5)</f>
        <v>0.98755999999999999</v>
      </c>
      <c r="I16" s="358">
        <v>80740000</v>
      </c>
      <c r="K16" s="224">
        <f t="shared" ref="K16" si="0">ROUND((I16/1000-O16/1000)/(I16/1000),4)-C16</f>
        <v>0.36670000000000003</v>
      </c>
      <c r="M16" s="392">
        <v>593884837</v>
      </c>
      <c r="O16" s="393">
        <v>-13459000</v>
      </c>
      <c r="Q16" s="394">
        <v>1</v>
      </c>
      <c r="S16" s="351" t="s">
        <v>264</v>
      </c>
    </row>
    <row r="17" spans="1:19" x14ac:dyDescent="0.2">
      <c r="A17" s="349">
        <v>2024</v>
      </c>
      <c r="C17" s="357">
        <v>0.85</v>
      </c>
      <c r="D17" s="378"/>
      <c r="E17" s="358">
        <v>83729868</v>
      </c>
      <c r="G17" s="361">
        <f>ROUND(I17/E17,5)</f>
        <v>0.98839999999999995</v>
      </c>
      <c r="I17" s="358">
        <v>82759000</v>
      </c>
      <c r="K17" s="224">
        <f t="shared" ref="K17" si="1">ROUND((I17/1000-O17/1000)/(I17/1000),4)-C17</f>
        <v>0.36580000000000001</v>
      </c>
      <c r="M17" s="392">
        <v>620698929</v>
      </c>
      <c r="O17" s="393">
        <v>-17859000</v>
      </c>
      <c r="Q17" s="394">
        <v>1</v>
      </c>
      <c r="S17" s="351" t="s">
        <v>264</v>
      </c>
    </row>
    <row r="18" spans="1:19" ht="12" customHeight="1" x14ac:dyDescent="0.2">
      <c r="A18" s="349">
        <v>2023</v>
      </c>
      <c r="C18" s="357">
        <v>0.78</v>
      </c>
      <c r="D18" s="378"/>
      <c r="E18" s="358">
        <v>90590639</v>
      </c>
      <c r="G18" s="350"/>
      <c r="I18" s="359">
        <f t="shared" ref="I18:I25" si="2">IF(G18&lt;&gt;0,E18*G18,E18)</f>
        <v>90590639</v>
      </c>
      <c r="K18" s="224">
        <f>ROUND((I18/1000-O18/1000)/(I18/1000),4)-C18</f>
        <v>0.34989999999999988</v>
      </c>
      <c r="M18" s="392">
        <v>633155759</v>
      </c>
      <c r="O18" s="393">
        <v>-11768000</v>
      </c>
      <c r="Q18" s="394">
        <v>0.97611254095699596</v>
      </c>
      <c r="S18" s="351" t="s">
        <v>349</v>
      </c>
    </row>
    <row r="19" spans="1:19" s="244" customFormat="1" x14ac:dyDescent="0.2">
      <c r="A19" s="349">
        <v>2022</v>
      </c>
      <c r="B19" s="221"/>
      <c r="C19" s="357">
        <v>0.78</v>
      </c>
      <c r="D19" s="378"/>
      <c r="E19" s="358">
        <v>99199275</v>
      </c>
      <c r="F19" s="221"/>
      <c r="G19" s="350"/>
      <c r="H19" s="221"/>
      <c r="I19" s="359">
        <f t="shared" si="2"/>
        <v>99199275</v>
      </c>
      <c r="J19" s="221"/>
      <c r="K19" s="224">
        <f t="shared" ref="K19:K25" si="3">ROUND((I19/1000-O19/1000)/(I19/1000),4)-C19</f>
        <v>0.34650000000000003</v>
      </c>
      <c r="L19" s="221"/>
      <c r="M19" s="392">
        <v>605771342</v>
      </c>
      <c r="N19" s="221"/>
      <c r="O19" s="393">
        <v>-12549000</v>
      </c>
      <c r="P19" s="221"/>
      <c r="Q19" s="394">
        <v>0.97862003850000001</v>
      </c>
      <c r="R19" s="221"/>
      <c r="S19" s="351" t="s">
        <v>341</v>
      </c>
    </row>
    <row r="20" spans="1:19" s="244" customFormat="1" x14ac:dyDescent="0.2">
      <c r="A20" s="349">
        <v>2021</v>
      </c>
      <c r="B20" s="349"/>
      <c r="C20" s="357">
        <v>0.94</v>
      </c>
      <c r="D20" s="349"/>
      <c r="E20" s="358">
        <v>95686765</v>
      </c>
      <c r="F20" s="261"/>
      <c r="G20" s="350"/>
      <c r="I20" s="359">
        <f t="shared" si="2"/>
        <v>95686765</v>
      </c>
      <c r="K20" s="224">
        <f t="shared" si="3"/>
        <v>0.35600000000000009</v>
      </c>
      <c r="M20" s="392">
        <v>536446168</v>
      </c>
      <c r="N20" s="261"/>
      <c r="O20" s="393">
        <v>-28323000</v>
      </c>
      <c r="P20" s="261"/>
      <c r="Q20" s="394">
        <v>1.0255909877</v>
      </c>
      <c r="R20" s="261"/>
      <c r="S20" s="351" t="s">
        <v>338</v>
      </c>
    </row>
    <row r="21" spans="1:19" s="244" customFormat="1" x14ac:dyDescent="0.2">
      <c r="A21" s="349">
        <v>2020</v>
      </c>
      <c r="B21" s="349"/>
      <c r="C21" s="357">
        <v>0.68</v>
      </c>
      <c r="D21" s="349"/>
      <c r="E21" s="358">
        <v>100797089</v>
      </c>
      <c r="F21" s="261"/>
      <c r="G21" s="350"/>
      <c r="I21" s="359">
        <f t="shared" si="2"/>
        <v>100797089</v>
      </c>
      <c r="K21" s="224">
        <f t="shared" si="3"/>
        <v>0.33340000000000003</v>
      </c>
      <c r="M21" s="392">
        <v>509955374</v>
      </c>
      <c r="N21" s="261"/>
      <c r="O21" s="393">
        <v>-1349863</v>
      </c>
      <c r="P21" s="261"/>
      <c r="Q21" s="394">
        <v>0.92357474112073201</v>
      </c>
      <c r="R21" s="261"/>
      <c r="S21" s="351" t="s">
        <v>335</v>
      </c>
    </row>
    <row r="22" spans="1:19" s="244" customFormat="1" x14ac:dyDescent="0.2">
      <c r="A22" s="349">
        <v>2019</v>
      </c>
      <c r="B22" s="349"/>
      <c r="C22" s="357">
        <v>0.72</v>
      </c>
      <c r="D22" s="349"/>
      <c r="E22" s="358">
        <v>103618715</v>
      </c>
      <c r="F22" s="261"/>
      <c r="G22" s="350"/>
      <c r="I22" s="359">
        <f t="shared" si="2"/>
        <v>103618715</v>
      </c>
      <c r="K22" s="224">
        <f t="shared" si="3"/>
        <v>0.34050000000000002</v>
      </c>
      <c r="M22" s="392">
        <v>534467266</v>
      </c>
      <c r="N22" s="261"/>
      <c r="O22" s="393">
        <v>-6272483</v>
      </c>
      <c r="P22" s="261"/>
      <c r="Q22" s="394">
        <v>0.97349048182543496</v>
      </c>
      <c r="R22" s="261"/>
      <c r="S22" s="351" t="s">
        <v>332</v>
      </c>
    </row>
    <row r="23" spans="1:19" s="244" customFormat="1" x14ac:dyDescent="0.2">
      <c r="A23" s="349">
        <v>2018</v>
      </c>
      <c r="B23" s="349"/>
      <c r="C23" s="357">
        <v>0.75</v>
      </c>
      <c r="D23" s="349"/>
      <c r="E23" s="358">
        <v>120901493</v>
      </c>
      <c r="F23" s="261"/>
      <c r="G23" s="350"/>
      <c r="I23" s="359">
        <f t="shared" si="2"/>
        <v>120901493</v>
      </c>
      <c r="K23" s="224">
        <f t="shared" si="3"/>
        <v>0.34660000000000002</v>
      </c>
      <c r="M23" s="392">
        <v>523580642</v>
      </c>
      <c r="N23" s="261"/>
      <c r="O23" s="393">
        <v>-11683779</v>
      </c>
      <c r="P23" s="261"/>
      <c r="Q23" s="394">
        <v>0.95005919169999997</v>
      </c>
      <c r="R23" s="261"/>
      <c r="S23" s="351" t="s">
        <v>329</v>
      </c>
    </row>
    <row r="24" spans="1:19" s="244" customFormat="1" x14ac:dyDescent="0.2">
      <c r="A24" s="349">
        <v>2017</v>
      </c>
      <c r="B24" s="349"/>
      <c r="C24" s="357">
        <v>0.69</v>
      </c>
      <c r="D24" s="349"/>
      <c r="E24" s="358">
        <v>121200631</v>
      </c>
      <c r="F24" s="261"/>
      <c r="G24" s="350"/>
      <c r="I24" s="359">
        <f t="shared" si="2"/>
        <v>121200631</v>
      </c>
      <c r="K24" s="224">
        <f t="shared" si="3"/>
        <v>0.32790000000000008</v>
      </c>
      <c r="M24" s="392">
        <v>515201805</v>
      </c>
      <c r="N24" s="261"/>
      <c r="O24" s="393">
        <v>-2163514</v>
      </c>
      <c r="P24" s="261"/>
      <c r="Q24" s="394">
        <v>1.009031531</v>
      </c>
      <c r="R24" s="261"/>
      <c r="S24" s="351" t="s">
        <v>320</v>
      </c>
    </row>
    <row r="25" spans="1:19" s="244" customFormat="1" x14ac:dyDescent="0.2">
      <c r="A25" s="349">
        <v>2016</v>
      </c>
      <c r="B25" s="349"/>
      <c r="C25" s="357">
        <v>0.64600000000000002</v>
      </c>
      <c r="D25" s="349"/>
      <c r="E25" s="358">
        <v>121738406</v>
      </c>
      <c r="F25" s="261"/>
      <c r="G25" s="350"/>
      <c r="I25" s="359">
        <f t="shared" si="2"/>
        <v>121738406</v>
      </c>
      <c r="K25" s="224">
        <f t="shared" si="3"/>
        <v>0.33279999999999998</v>
      </c>
      <c r="M25" s="392">
        <v>486319765</v>
      </c>
      <c r="N25" s="261"/>
      <c r="O25" s="393">
        <v>2577470</v>
      </c>
      <c r="P25" s="261"/>
      <c r="Q25" s="394">
        <v>0.97310866000717433</v>
      </c>
      <c r="R25" s="261"/>
      <c r="S25" s="351" t="s">
        <v>319</v>
      </c>
    </row>
    <row r="39" spans="1:7" x14ac:dyDescent="0.2">
      <c r="A39" s="221" t="s">
        <v>97</v>
      </c>
      <c r="E39" s="379" t="s">
        <v>356</v>
      </c>
      <c r="F39" s="349"/>
      <c r="G39" s="352">
        <v>46224</v>
      </c>
    </row>
  </sheetData>
  <mergeCells count="1">
    <mergeCell ref="A2:S2"/>
  </mergeCells>
  <phoneticPr fontId="4" type="noConversion"/>
  <pageMargins left="0.5" right="0.5" top="0.5" bottom="0.5" header="0.5" footer="0.5"/>
  <pageSetup scale="10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J46"/>
  <sheetViews>
    <sheetView zoomScale="80" zoomScaleNormal="80" workbookViewId="0">
      <selection activeCell="O25" sqref="O25"/>
    </sheetView>
  </sheetViews>
  <sheetFormatPr defaultColWidth="9.140625" defaultRowHeight="12.75" x14ac:dyDescent="0.2"/>
  <cols>
    <col min="1" max="1" width="10.42578125" style="1" bestFit="1" customWidth="1"/>
    <col min="2" max="2" width="46.85546875" style="1" customWidth="1"/>
    <col min="3" max="3" width="10.140625" style="1" customWidth="1"/>
    <col min="4" max="4" width="9.28515625" style="1" customWidth="1"/>
    <col min="5" max="5" width="18.42578125" style="1" bestFit="1" customWidth="1"/>
    <col min="6" max="9" width="9.28515625" style="1" customWidth="1"/>
    <col min="10" max="11" width="9.140625" style="1"/>
    <col min="12" max="12" width="10.28515625" style="1" customWidth="1"/>
    <col min="13" max="13" width="10.42578125" style="1" customWidth="1"/>
    <col min="14" max="14" width="13.5703125" style="1" bestFit="1" customWidth="1"/>
    <col min="15" max="18" width="10" style="1" customWidth="1"/>
    <col min="19" max="19" width="11.85546875" style="1" customWidth="1"/>
    <col min="20" max="21" width="12.42578125" style="1" customWidth="1"/>
    <col min="22" max="22" width="13" style="1" customWidth="1"/>
    <col min="23" max="23" width="11.5703125" style="1" customWidth="1"/>
    <col min="24" max="24" width="10.5703125" style="1" customWidth="1"/>
    <col min="25" max="25" width="11" style="1" customWidth="1"/>
    <col min="26" max="26" width="12" style="1" customWidth="1"/>
    <col min="27" max="27" width="10.5703125" style="1" customWidth="1"/>
    <col min="28" max="28" width="10.28515625" style="1" customWidth="1"/>
    <col min="29" max="29" width="11.85546875" style="1" customWidth="1"/>
    <col min="30" max="16384" width="9.140625" style="1"/>
  </cols>
  <sheetData>
    <row r="1" spans="1:4" ht="15" x14ac:dyDescent="0.2">
      <c r="A1" s="62" t="s">
        <v>52</v>
      </c>
    </row>
    <row r="5" spans="1:4" x14ac:dyDescent="0.2">
      <c r="B5" s="3" t="s">
        <v>53</v>
      </c>
      <c r="C5" s="61"/>
    </row>
    <row r="6" spans="1:4" x14ac:dyDescent="0.2">
      <c r="B6" s="1" t="s">
        <v>18</v>
      </c>
      <c r="C6" s="2">
        <f>'Exhibit 4'!D25</f>
        <v>2025</v>
      </c>
      <c r="D6" s="416" t="s">
        <v>316</v>
      </c>
    </row>
    <row r="7" spans="1:4" x14ac:dyDescent="0.2">
      <c r="B7" s="1" t="s">
        <v>46</v>
      </c>
      <c r="C7" s="5">
        <f>'Exhibit 4'!D26</f>
        <v>0</v>
      </c>
      <c r="D7" s="417" t="s">
        <v>317</v>
      </c>
    </row>
    <row r="9" spans="1:4" x14ac:dyDescent="0.2">
      <c r="B9" s="45" t="s">
        <v>54</v>
      </c>
    </row>
    <row r="10" spans="1:4" x14ac:dyDescent="0.2">
      <c r="A10" s="4" t="s">
        <v>11</v>
      </c>
      <c r="B10" s="1" t="s">
        <v>55</v>
      </c>
      <c r="C10" s="46">
        <v>1</v>
      </c>
    </row>
    <row r="11" spans="1:4" x14ac:dyDescent="0.2">
      <c r="A11" s="4" t="s">
        <v>12</v>
      </c>
      <c r="B11" s="1" t="s">
        <v>56</v>
      </c>
      <c r="C11" s="47">
        <f>VLOOKUP($C$7,'Disc Fact Premium'!G14:H26,2,FALSE)</f>
        <v>1</v>
      </c>
    </row>
    <row r="12" spans="1:4" x14ac:dyDescent="0.2">
      <c r="A12" s="4" t="s">
        <v>13</v>
      </c>
      <c r="B12" s="1" t="s">
        <v>57</v>
      </c>
      <c r="C12" s="47">
        <f>C10*C11</f>
        <v>1</v>
      </c>
    </row>
    <row r="13" spans="1:4" x14ac:dyDescent="0.2">
      <c r="A13" s="4"/>
      <c r="C13" s="47"/>
    </row>
    <row r="14" spans="1:4" x14ac:dyDescent="0.2">
      <c r="A14" s="4"/>
      <c r="C14" s="47"/>
    </row>
    <row r="15" spans="1:4" x14ac:dyDescent="0.2">
      <c r="A15" s="4"/>
      <c r="B15" s="45" t="s">
        <v>58</v>
      </c>
      <c r="C15" s="2"/>
    </row>
    <row r="16" spans="1:4" x14ac:dyDescent="0.2">
      <c r="A16" s="4" t="s">
        <v>14</v>
      </c>
      <c r="B16" s="1" t="s">
        <v>59</v>
      </c>
      <c r="C16" s="47">
        <f>VLOOKUP($C$6,'Exhibit 2'!B5:L14,2,FALSE)</f>
        <v>0.8</v>
      </c>
    </row>
    <row r="17" spans="1:10" x14ac:dyDescent="0.2">
      <c r="A17" s="4" t="s">
        <v>15</v>
      </c>
      <c r="B17" s="1" t="s">
        <v>60</v>
      </c>
      <c r="C17" s="47">
        <f>VLOOKUP($C$7,'Disc Fact Paid Loss'!AG29:AH41,2,FALSE)</f>
        <v>1.0000000000000002</v>
      </c>
      <c r="E17" s="47"/>
      <c r="F17" s="29"/>
      <c r="G17" s="29"/>
      <c r="H17" s="29"/>
      <c r="I17" s="29"/>
      <c r="J17" s="29"/>
    </row>
    <row r="18" spans="1:10" x14ac:dyDescent="0.2">
      <c r="A18" s="4" t="s">
        <v>16</v>
      </c>
      <c r="B18" s="1" t="s">
        <v>61</v>
      </c>
      <c r="C18" s="47">
        <f>ROUND(C16*C17,3)</f>
        <v>0.8</v>
      </c>
      <c r="E18" s="47"/>
      <c r="F18" s="29"/>
      <c r="G18" s="29"/>
      <c r="H18" s="29"/>
      <c r="I18" s="29"/>
      <c r="J18" s="29"/>
    </row>
    <row r="19" spans="1:10" x14ac:dyDescent="0.2">
      <c r="A19" s="2"/>
      <c r="C19" s="2"/>
      <c r="E19" s="2"/>
      <c r="F19" s="29"/>
      <c r="G19" s="29"/>
      <c r="H19" s="29"/>
      <c r="I19" s="29"/>
      <c r="J19" s="29"/>
    </row>
    <row r="20" spans="1:10" x14ac:dyDescent="0.2">
      <c r="A20" s="4" t="s">
        <v>17</v>
      </c>
      <c r="B20" s="1" t="s">
        <v>62</v>
      </c>
      <c r="C20" s="47">
        <f>VLOOKUP($C$6,'Exhibit 2'!B5:L14,4,FALSE)</f>
        <v>0.36670000000000003</v>
      </c>
      <c r="E20" s="47"/>
      <c r="F20" s="29"/>
      <c r="G20" s="29"/>
      <c r="H20" s="29"/>
      <c r="I20" s="29"/>
      <c r="J20" s="29"/>
    </row>
    <row r="21" spans="1:10" x14ac:dyDescent="0.2">
      <c r="A21" s="4" t="s">
        <v>63</v>
      </c>
      <c r="B21" s="1" t="s">
        <v>64</v>
      </c>
      <c r="C21" s="47">
        <f>C20*C11</f>
        <v>0.36670000000000003</v>
      </c>
      <c r="E21" s="47"/>
      <c r="F21" s="29"/>
      <c r="G21" s="29"/>
      <c r="H21" s="29"/>
      <c r="I21" s="29"/>
      <c r="J21" s="29"/>
    </row>
    <row r="22" spans="1:10" x14ac:dyDescent="0.2">
      <c r="A22" s="2"/>
      <c r="C22" s="2"/>
      <c r="E22" s="2"/>
      <c r="F22" s="29"/>
      <c r="G22" s="29"/>
      <c r="H22" s="29"/>
      <c r="I22" s="29"/>
      <c r="J22" s="29"/>
    </row>
    <row r="23" spans="1:10" x14ac:dyDescent="0.2">
      <c r="A23" s="4" t="s">
        <v>65</v>
      </c>
      <c r="B23" s="1" t="s">
        <v>66</v>
      </c>
      <c r="C23" s="47">
        <f>C12-C18-C21</f>
        <v>-0.16670000000000007</v>
      </c>
      <c r="E23" s="47"/>
      <c r="F23" s="29"/>
      <c r="G23" s="29"/>
      <c r="H23" s="29"/>
      <c r="I23" s="29"/>
      <c r="J23" s="29"/>
    </row>
    <row r="24" spans="1:10" x14ac:dyDescent="0.2">
      <c r="A24" s="2"/>
      <c r="B24" s="1" t="s">
        <v>67</v>
      </c>
      <c r="C24" s="2"/>
      <c r="E24" s="2"/>
      <c r="F24" s="29"/>
      <c r="G24" s="29"/>
      <c r="H24" s="29"/>
      <c r="I24" s="29"/>
      <c r="J24" s="29"/>
    </row>
    <row r="25" spans="1:10" x14ac:dyDescent="0.2">
      <c r="E25" s="47"/>
      <c r="F25" s="29"/>
      <c r="G25" s="29"/>
      <c r="H25" s="29"/>
      <c r="I25" s="29"/>
      <c r="J25" s="29"/>
    </row>
    <row r="26" spans="1:10" x14ac:dyDescent="0.2">
      <c r="A26" s="4" t="s">
        <v>68</v>
      </c>
      <c r="B26" s="1" t="s">
        <v>69</v>
      </c>
      <c r="C26" s="47">
        <f>VLOOKUP($C$6,'Exhibit 2'!B5:L14,10,FALSE)</f>
        <v>0.13600000000000001</v>
      </c>
      <c r="E26" s="2"/>
      <c r="F26" s="29"/>
      <c r="G26" s="29"/>
      <c r="H26" s="29"/>
      <c r="I26" s="29"/>
      <c r="J26" s="29"/>
    </row>
    <row r="27" spans="1:10" x14ac:dyDescent="0.2">
      <c r="A27" s="2"/>
      <c r="C27" s="2"/>
      <c r="E27" s="50"/>
      <c r="F27" s="29"/>
      <c r="G27" s="29"/>
      <c r="H27" s="29"/>
      <c r="I27" s="29"/>
      <c r="J27" s="29"/>
    </row>
    <row r="28" spans="1:10" x14ac:dyDescent="0.2">
      <c r="A28" s="4" t="s">
        <v>70</v>
      </c>
      <c r="B28" s="1" t="s">
        <v>71</v>
      </c>
      <c r="C28" s="420">
        <f>ROUND(-1*C23*C26,6)</f>
        <v>2.2671E-2</v>
      </c>
      <c r="D28" s="446" t="s">
        <v>331</v>
      </c>
      <c r="E28" s="446"/>
      <c r="F28" s="446"/>
      <c r="G28" s="446"/>
      <c r="H28" s="446"/>
      <c r="I28" s="446"/>
      <c r="J28" s="446"/>
    </row>
    <row r="29" spans="1:10" x14ac:dyDescent="0.2">
      <c r="B29" s="51"/>
      <c r="C29" s="9"/>
      <c r="D29" s="9"/>
      <c r="E29" s="52"/>
    </row>
    <row r="30" spans="1:10" x14ac:dyDescent="0.2">
      <c r="B30" s="53"/>
      <c r="C30" s="9"/>
      <c r="D30" s="9"/>
    </row>
    <row r="31" spans="1:10" x14ac:dyDescent="0.2">
      <c r="E31" s="54"/>
      <c r="F31" s="48"/>
      <c r="G31" s="49"/>
      <c r="H31" s="49"/>
      <c r="I31" s="49"/>
      <c r="J31" s="49"/>
    </row>
    <row r="32" spans="1:10" x14ac:dyDescent="0.2">
      <c r="A32" s="55" t="s">
        <v>23</v>
      </c>
      <c r="B32" s="56"/>
      <c r="C32" s="1" t="s">
        <v>48</v>
      </c>
      <c r="E32" s="57"/>
      <c r="F32" s="58"/>
      <c r="G32" s="58"/>
      <c r="H32" s="58"/>
      <c r="I32" s="58"/>
      <c r="J32" s="58"/>
    </row>
    <row r="33" spans="1:3" x14ac:dyDescent="0.2">
      <c r="A33" s="59" t="s">
        <v>11</v>
      </c>
      <c r="B33" s="56" t="s">
        <v>72</v>
      </c>
    </row>
    <row r="34" spans="1:3" x14ac:dyDescent="0.2">
      <c r="A34" s="59" t="s">
        <v>12</v>
      </c>
      <c r="B34" s="56" t="s">
        <v>73</v>
      </c>
    </row>
    <row r="35" spans="1:3" x14ac:dyDescent="0.2">
      <c r="A35" s="59" t="s">
        <v>74</v>
      </c>
      <c r="B35" s="56" t="s">
        <v>75</v>
      </c>
    </row>
    <row r="36" spans="1:3" x14ac:dyDescent="0.2">
      <c r="A36" s="59" t="s">
        <v>15</v>
      </c>
      <c r="B36" s="56" t="s">
        <v>76</v>
      </c>
    </row>
    <row r="37" spans="1:3" x14ac:dyDescent="0.2">
      <c r="A37" s="59"/>
      <c r="B37" s="56"/>
    </row>
    <row r="38" spans="1:3" x14ac:dyDescent="0.2">
      <c r="A38" s="59"/>
      <c r="B38" s="56"/>
    </row>
    <row r="39" spans="1:3" x14ac:dyDescent="0.2">
      <c r="A39" s="59"/>
      <c r="B39" s="56" t="s">
        <v>77</v>
      </c>
    </row>
    <row r="41" spans="1:3" x14ac:dyDescent="0.2">
      <c r="A41" s="59"/>
      <c r="B41" s="56"/>
    </row>
    <row r="42" spans="1:3" x14ac:dyDescent="0.2">
      <c r="A42" s="59"/>
      <c r="B42" s="56"/>
    </row>
    <row r="43" spans="1:3" x14ac:dyDescent="0.2">
      <c r="A43" s="59"/>
      <c r="B43" s="419" t="s">
        <v>325</v>
      </c>
    </row>
    <row r="44" spans="1:3" x14ac:dyDescent="0.2">
      <c r="A44" s="59"/>
      <c r="B44" s="419" t="s">
        <v>326</v>
      </c>
    </row>
    <row r="45" spans="1:3" x14ac:dyDescent="0.2">
      <c r="A45" s="59"/>
      <c r="B45" s="419" t="s">
        <v>327</v>
      </c>
    </row>
    <row r="46" spans="1:3" x14ac:dyDescent="0.2">
      <c r="B46" s="419" t="s">
        <v>328</v>
      </c>
      <c r="C46" s="60"/>
    </row>
  </sheetData>
  <mergeCells count="1">
    <mergeCell ref="D28:J28"/>
  </mergeCells>
  <phoneticPr fontId="4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342900</xdr:colOff>
                    <xdr:row>0</xdr:row>
                    <xdr:rowOff>0</xdr:rowOff>
                  </from>
                  <to>
                    <xdr:col>4</xdr:col>
                    <xdr:colOff>104775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  <pageSetUpPr fitToPage="1"/>
  </sheetPr>
  <dimension ref="A1:M51"/>
  <sheetViews>
    <sheetView topLeftCell="A12" zoomScale="80" zoomScaleNormal="80" workbookViewId="0">
      <selection activeCell="O25" sqref="O25"/>
    </sheetView>
  </sheetViews>
  <sheetFormatPr defaultColWidth="16.5703125" defaultRowHeight="12.75" x14ac:dyDescent="0.2"/>
  <cols>
    <col min="1" max="1" width="16.5703125" style="2" customWidth="1"/>
    <col min="2" max="16384" width="16.5703125" style="1"/>
  </cols>
  <sheetData>
    <row r="1" spans="1:13" ht="15" x14ac:dyDescent="0.2">
      <c r="A1" s="6" t="s">
        <v>36</v>
      </c>
      <c r="E1" s="363" t="s">
        <v>344</v>
      </c>
      <c r="F1" s="364"/>
      <c r="G1" s="364"/>
      <c r="H1" s="364"/>
      <c r="I1" s="364"/>
      <c r="J1" s="364"/>
    </row>
    <row r="2" spans="1:13" x14ac:dyDescent="0.2">
      <c r="A2" s="8" t="s">
        <v>37</v>
      </c>
      <c r="E2" s="1" t="s">
        <v>38</v>
      </c>
    </row>
    <row r="3" spans="1:13" x14ac:dyDescent="0.2">
      <c r="A3" s="8" t="s">
        <v>39</v>
      </c>
      <c r="E3" s="1" t="s">
        <v>190</v>
      </c>
      <c r="J3" s="1" t="s">
        <v>334</v>
      </c>
    </row>
    <row r="4" spans="1:13" x14ac:dyDescent="0.2">
      <c r="E4" s="1" t="s">
        <v>220</v>
      </c>
      <c r="J4" s="1" t="s">
        <v>336</v>
      </c>
    </row>
    <row r="5" spans="1:13" x14ac:dyDescent="0.2">
      <c r="C5" s="9"/>
      <c r="E5" s="1" t="s">
        <v>238</v>
      </c>
      <c r="J5" s="1" t="s">
        <v>339</v>
      </c>
    </row>
    <row r="6" spans="1:13" x14ac:dyDescent="0.2">
      <c r="E6" s="1" t="s">
        <v>250</v>
      </c>
      <c r="J6" s="395" t="s">
        <v>342</v>
      </c>
      <c r="K6" s="364"/>
      <c r="L6" s="364"/>
      <c r="M6" s="364"/>
    </row>
    <row r="7" spans="1:13" x14ac:dyDescent="0.2">
      <c r="B7" s="9"/>
      <c r="C7" s="10" t="s">
        <v>40</v>
      </c>
      <c r="E7" s="1" t="s">
        <v>257</v>
      </c>
    </row>
    <row r="8" spans="1:13" ht="15" customHeight="1" x14ac:dyDescent="0.2">
      <c r="B8" s="9" t="s">
        <v>41</v>
      </c>
      <c r="C8" s="9" t="s">
        <v>42</v>
      </c>
      <c r="D8" s="10"/>
      <c r="E8" s="1" t="s">
        <v>263</v>
      </c>
      <c r="G8" s="10"/>
      <c r="H8" s="10"/>
      <c r="I8" s="10"/>
      <c r="J8" s="10"/>
    </row>
    <row r="9" spans="1:13" x14ac:dyDescent="0.2">
      <c r="A9" s="11" t="s">
        <v>43</v>
      </c>
      <c r="B9" s="11" t="s">
        <v>44</v>
      </c>
      <c r="C9" s="12">
        <f>Summary!C7</f>
        <v>0</v>
      </c>
      <c r="D9" s="10"/>
      <c r="E9" s="1" t="s">
        <v>312</v>
      </c>
      <c r="G9" s="10"/>
      <c r="H9" s="10"/>
      <c r="I9" s="10"/>
      <c r="J9" s="10"/>
    </row>
    <row r="10" spans="1:13" ht="15" customHeight="1" x14ac:dyDescent="0.2">
      <c r="A10" s="10">
        <v>0</v>
      </c>
      <c r="B10" s="362">
        <v>4.362754506820412E-2</v>
      </c>
      <c r="C10" s="15">
        <f t="shared" ref="C10:C50" si="0">B10/(1+$C$9)^(A10*0.25)</f>
        <v>4.362754506820412E-2</v>
      </c>
      <c r="D10" s="10"/>
      <c r="E10" s="1" t="s">
        <v>321</v>
      </c>
      <c r="G10" s="10"/>
      <c r="H10" s="10"/>
      <c r="I10"/>
      <c r="J10" s="19"/>
    </row>
    <row r="11" spans="1:13" ht="15" customHeight="1" x14ac:dyDescent="0.2">
      <c r="A11" s="10">
        <v>1</v>
      </c>
      <c r="B11" s="362">
        <v>0.3620743415085137</v>
      </c>
      <c r="C11" s="15">
        <f>B11/(1+$C$9)^(A11*0.25)</f>
        <v>0.3620743415085137</v>
      </c>
      <c r="D11" s="10"/>
      <c r="E11" s="295" t="s">
        <v>45</v>
      </c>
      <c r="F11" s="296"/>
      <c r="G11" s="447" t="s">
        <v>45</v>
      </c>
      <c r="H11" s="448"/>
      <c r="I11"/>
      <c r="J11" s="19"/>
    </row>
    <row r="12" spans="1:13" ht="15" customHeight="1" x14ac:dyDescent="0.2">
      <c r="A12" s="21">
        <v>2</v>
      </c>
      <c r="B12" s="362">
        <v>0.24266805339007741</v>
      </c>
      <c r="C12" s="15">
        <f t="shared" si="0"/>
        <v>0.24266805339007741</v>
      </c>
      <c r="D12" s="10"/>
      <c r="E12" s="297"/>
      <c r="F12" s="298"/>
      <c r="G12" s="303"/>
      <c r="H12" s="304"/>
      <c r="I12"/>
      <c r="J12" s="19"/>
    </row>
    <row r="13" spans="1:13" ht="15" customHeight="1" x14ac:dyDescent="0.2">
      <c r="A13" s="10">
        <v>3</v>
      </c>
      <c r="B13" s="362">
        <v>0.19147980039193963</v>
      </c>
      <c r="C13" s="15">
        <f t="shared" si="0"/>
        <v>0.19147980039193963</v>
      </c>
      <c r="D13" s="10"/>
      <c r="E13" s="299" t="s">
        <v>46</v>
      </c>
      <c r="F13" s="300">
        <f>C51</f>
        <v>1</v>
      </c>
      <c r="G13" s="293" t="s">
        <v>46</v>
      </c>
      <c r="H13" s="305">
        <f>C51</f>
        <v>1</v>
      </c>
      <c r="I13"/>
      <c r="J13" s="19"/>
    </row>
    <row r="14" spans="1:13" ht="15" customHeight="1" x14ac:dyDescent="0.2">
      <c r="A14" s="21">
        <v>4</v>
      </c>
      <c r="B14" s="362">
        <v>5.7317985315951642E-2</v>
      </c>
      <c r="C14" s="15">
        <f t="shared" si="0"/>
        <v>5.7317985315951642E-2</v>
      </c>
      <c r="D14" s="10"/>
      <c r="E14" s="301">
        <v>0</v>
      </c>
      <c r="F14" s="302">
        <f t="dataTable" ref="F14:F21" dt2D="0" dtr="0" r1="C9" ca="1"/>
        <v>1</v>
      </c>
      <c r="G14" s="294">
        <v>0</v>
      </c>
      <c r="H14" s="26">
        <f t="dataTable" ref="H14:H26" dt2D="0" dtr="0" r1="C9" ca="1"/>
        <v>1</v>
      </c>
      <c r="I14"/>
      <c r="J14" s="19"/>
    </row>
    <row r="15" spans="1:13" ht="15" customHeight="1" x14ac:dyDescent="0.2">
      <c r="A15" s="10">
        <v>5</v>
      </c>
      <c r="B15" s="362">
        <v>2.197676910763878E-2</v>
      </c>
      <c r="C15" s="15">
        <f t="shared" si="0"/>
        <v>2.197676910763878E-2</v>
      </c>
      <c r="D15" s="10"/>
      <c r="E15" s="301">
        <f>ROUND(E14+0.01,2)</f>
        <v>0.01</v>
      </c>
      <c r="F15" s="302">
        <v>0.99427198575965037</v>
      </c>
      <c r="G15" s="294">
        <v>0.01</v>
      </c>
      <c r="H15" s="26">
        <v>0.99427198575965037</v>
      </c>
      <c r="I15"/>
      <c r="J15" s="19"/>
    </row>
    <row r="16" spans="1:13" ht="15" customHeight="1" x14ac:dyDescent="0.2">
      <c r="A16" s="21">
        <v>6</v>
      </c>
      <c r="B16" s="362">
        <v>4.1046521796180124E-2</v>
      </c>
      <c r="C16" s="15">
        <f t="shared" si="0"/>
        <v>4.1046521796180124E-2</v>
      </c>
      <c r="D16" s="10"/>
      <c r="E16" s="301">
        <f t="shared" ref="E16:E26" si="1">ROUND(E15+0.01,2)</f>
        <v>0.02</v>
      </c>
      <c r="F16" s="302">
        <v>0.98865083226230532</v>
      </c>
      <c r="G16" s="294">
        <v>0.02</v>
      </c>
      <c r="H16" s="26">
        <v>0.98865083226230532</v>
      </c>
      <c r="I16"/>
      <c r="J16" s="19"/>
    </row>
    <row r="17" spans="1:8" ht="15" customHeight="1" x14ac:dyDescent="0.2">
      <c r="A17" s="10">
        <v>7</v>
      </c>
      <c r="B17" s="362">
        <v>2.0514749606089736E-2</v>
      </c>
      <c r="C17" s="15">
        <f t="shared" si="0"/>
        <v>2.0514749606089736E-2</v>
      </c>
      <c r="D17" s="10"/>
      <c r="E17" s="301">
        <f t="shared" si="1"/>
        <v>0.03</v>
      </c>
      <c r="F17" s="302">
        <v>0.98313336918145944</v>
      </c>
      <c r="G17" s="294">
        <v>0.03</v>
      </c>
      <c r="H17" s="26">
        <v>0.98313336918145944</v>
      </c>
    </row>
    <row r="18" spans="1:8" ht="15" customHeight="1" x14ac:dyDescent="0.2">
      <c r="A18" s="21">
        <v>8</v>
      </c>
      <c r="B18" s="362">
        <v>1.1522339704634158E-2</v>
      </c>
      <c r="C18" s="15">
        <f t="shared" si="0"/>
        <v>1.1522339704634158E-2</v>
      </c>
      <c r="D18" s="10"/>
      <c r="E18" s="301">
        <f t="shared" si="1"/>
        <v>0.04</v>
      </c>
      <c r="F18" s="302">
        <v>0.97771655309275818</v>
      </c>
      <c r="G18" s="294">
        <v>0.04</v>
      </c>
      <c r="H18" s="26">
        <v>0.97771655309275818</v>
      </c>
    </row>
    <row r="19" spans="1:8" ht="15" customHeight="1" x14ac:dyDescent="0.2">
      <c r="A19" s="10">
        <v>9</v>
      </c>
      <c r="B19" s="362">
        <v>7.7718941107706302E-3</v>
      </c>
      <c r="C19" s="15">
        <f t="shared" si="0"/>
        <v>7.7718941107706302E-3</v>
      </c>
      <c r="D19" s="10"/>
      <c r="E19" s="301">
        <f t="shared" si="1"/>
        <v>0.05</v>
      </c>
      <c r="F19" s="302">
        <v>0.97239746113615189</v>
      </c>
      <c r="G19" s="294">
        <v>0.05</v>
      </c>
      <c r="H19" s="26">
        <v>0.97239746113615189</v>
      </c>
    </row>
    <row r="20" spans="1:8" ht="15" customHeight="1" x14ac:dyDescent="0.2">
      <c r="A20" s="21">
        <v>10</v>
      </c>
      <c r="B20" s="362">
        <v>0</v>
      </c>
      <c r="C20" s="15">
        <f t="shared" si="0"/>
        <v>0</v>
      </c>
      <c r="D20" s="10"/>
      <c r="E20" s="301">
        <f t="shared" si="1"/>
        <v>0.06</v>
      </c>
      <c r="F20" s="302">
        <v>0.96717328505519917</v>
      </c>
      <c r="G20" s="294">
        <v>0.06</v>
      </c>
      <c r="H20" s="26">
        <v>0.96717328505519917</v>
      </c>
    </row>
    <row r="21" spans="1:8" ht="15" customHeight="1" x14ac:dyDescent="0.2">
      <c r="A21" s="10">
        <v>11</v>
      </c>
      <c r="B21" s="362">
        <v>0</v>
      </c>
      <c r="C21" s="15">
        <f t="shared" si="0"/>
        <v>0</v>
      </c>
      <c r="D21" s="10"/>
      <c r="E21" s="301">
        <f t="shared" si="1"/>
        <v>7.0000000000000007E-2</v>
      </c>
      <c r="F21" s="302">
        <v>0.96204132558759059</v>
      </c>
      <c r="G21" s="294">
        <v>7.0000000000000007E-2</v>
      </c>
      <c r="H21" s="26">
        <v>0.96204132558759059</v>
      </c>
    </row>
    <row r="22" spans="1:8" ht="15" customHeight="1" x14ac:dyDescent="0.2">
      <c r="A22" s="21">
        <v>12</v>
      </c>
      <c r="B22" s="362">
        <v>0</v>
      </c>
      <c r="C22" s="15">
        <f t="shared" si="0"/>
        <v>0</v>
      </c>
      <c r="D22" s="10"/>
      <c r="E22" s="301">
        <f t="shared" si="1"/>
        <v>0.08</v>
      </c>
      <c r="F22" s="302" t="s">
        <v>235</v>
      </c>
      <c r="G22" s="294">
        <v>0.08</v>
      </c>
      <c r="H22" s="26">
        <v>0.95699898718296028</v>
      </c>
    </row>
    <row r="23" spans="1:8" ht="15" customHeight="1" x14ac:dyDescent="0.2">
      <c r="A23" s="10">
        <v>13</v>
      </c>
      <c r="B23" s="362">
        <v>0</v>
      </c>
      <c r="C23" s="15">
        <f t="shared" si="0"/>
        <v>0</v>
      </c>
      <c r="D23" s="10"/>
      <c r="E23" s="301">
        <f t="shared" si="1"/>
        <v>0.09</v>
      </c>
      <c r="F23" s="302" t="s">
        <v>235</v>
      </c>
      <c r="G23" s="294">
        <v>0.09</v>
      </c>
      <c r="H23" s="26">
        <v>0.95204377302591059</v>
      </c>
    </row>
    <row r="24" spans="1:8" ht="15" customHeight="1" x14ac:dyDescent="0.2">
      <c r="A24" s="21">
        <v>14</v>
      </c>
      <c r="B24" s="362">
        <v>0</v>
      </c>
      <c r="C24" s="15">
        <f t="shared" si="0"/>
        <v>0</v>
      </c>
      <c r="D24" s="16"/>
      <c r="E24" s="301">
        <f t="shared" si="1"/>
        <v>0.1</v>
      </c>
      <c r="F24" s="302" t="s">
        <v>235</v>
      </c>
      <c r="G24" s="294">
        <v>0.1</v>
      </c>
      <c r="H24" s="26">
        <v>0.94717328034385284</v>
      </c>
    </row>
    <row r="25" spans="1:8" ht="15" customHeight="1" x14ac:dyDescent="0.2">
      <c r="A25" s="10">
        <v>15</v>
      </c>
      <c r="B25" s="362">
        <v>0</v>
      </c>
      <c r="C25" s="15">
        <f t="shared" si="0"/>
        <v>0</v>
      </c>
      <c r="D25" s="16"/>
      <c r="E25" s="301">
        <f t="shared" si="1"/>
        <v>0.11</v>
      </c>
      <c r="F25" s="302" t="s">
        <v>235</v>
      </c>
      <c r="G25" s="294">
        <v>0.11</v>
      </c>
      <c r="H25" s="26">
        <v>0.94238519598081372</v>
      </c>
    </row>
    <row r="26" spans="1:8" ht="15" customHeight="1" x14ac:dyDescent="0.2">
      <c r="A26" s="21">
        <v>16</v>
      </c>
      <c r="B26" s="14">
        <v>0</v>
      </c>
      <c r="C26" s="15">
        <f t="shared" si="0"/>
        <v>0</v>
      </c>
      <c r="D26" s="16"/>
      <c r="E26" s="301">
        <f t="shared" si="1"/>
        <v>0.12</v>
      </c>
      <c r="F26" s="302" t="s">
        <v>235</v>
      </c>
      <c r="G26" s="294">
        <v>0.12</v>
      </c>
      <c r="H26" s="26">
        <v>0.93767729221976615</v>
      </c>
    </row>
    <row r="27" spans="1:8" ht="15" customHeight="1" x14ac:dyDescent="0.2">
      <c r="A27" s="10">
        <v>17</v>
      </c>
      <c r="B27" s="14">
        <v>0</v>
      </c>
      <c r="C27" s="15">
        <f t="shared" si="0"/>
        <v>0</v>
      </c>
      <c r="D27" s="16"/>
      <c r="E27" s="16"/>
      <c r="F27" s="17"/>
      <c r="G27" s="17"/>
      <c r="H27" s="17"/>
    </row>
    <row r="28" spans="1:8" ht="15" customHeight="1" x14ac:dyDescent="0.2">
      <c r="A28" s="21">
        <v>18</v>
      </c>
      <c r="B28" s="14">
        <v>0</v>
      </c>
      <c r="C28" s="15">
        <f t="shared" si="0"/>
        <v>0</v>
      </c>
      <c r="D28" s="16"/>
      <c r="E28" s="16"/>
      <c r="F28" s="17"/>
      <c r="G28" s="17"/>
      <c r="H28" s="17"/>
    </row>
    <row r="29" spans="1:8" ht="15" customHeight="1" x14ac:dyDescent="0.2">
      <c r="A29" s="10">
        <v>19</v>
      </c>
      <c r="B29" s="14">
        <v>0</v>
      </c>
      <c r="C29" s="15">
        <f t="shared" si="0"/>
        <v>0</v>
      </c>
      <c r="D29" s="16"/>
      <c r="E29" s="16"/>
      <c r="F29" s="17"/>
      <c r="G29" s="17"/>
      <c r="H29" s="17"/>
    </row>
    <row r="30" spans="1:8" ht="15" customHeight="1" x14ac:dyDescent="0.2">
      <c r="A30" s="21">
        <v>20</v>
      </c>
      <c r="B30" s="14">
        <v>0</v>
      </c>
      <c r="C30" s="15">
        <f t="shared" si="0"/>
        <v>0</v>
      </c>
      <c r="D30" s="16"/>
      <c r="E30" s="16"/>
      <c r="F30" s="17"/>
      <c r="G30" s="17"/>
      <c r="H30" s="17"/>
    </row>
    <row r="31" spans="1:8" ht="15" customHeight="1" x14ac:dyDescent="0.2">
      <c r="A31" s="10">
        <v>21</v>
      </c>
      <c r="B31" s="14">
        <v>0</v>
      </c>
      <c r="C31" s="15">
        <f t="shared" si="0"/>
        <v>0</v>
      </c>
      <c r="D31" s="16"/>
      <c r="E31" s="16"/>
      <c r="F31" s="17"/>
      <c r="G31" s="17"/>
      <c r="H31" s="17"/>
    </row>
    <row r="32" spans="1:8" ht="15" customHeight="1" x14ac:dyDescent="0.2">
      <c r="A32" s="21">
        <v>22</v>
      </c>
      <c r="B32" s="14">
        <v>0</v>
      </c>
      <c r="C32" s="15">
        <f t="shared" si="0"/>
        <v>0</v>
      </c>
      <c r="D32" s="16"/>
      <c r="E32" s="16"/>
      <c r="F32" s="17"/>
      <c r="G32" s="17"/>
      <c r="H32" s="17"/>
    </row>
    <row r="33" spans="1:3" ht="15" customHeight="1" x14ac:dyDescent="0.2">
      <c r="A33" s="10">
        <v>23</v>
      </c>
      <c r="B33" s="14">
        <v>0</v>
      </c>
      <c r="C33" s="15">
        <f t="shared" si="0"/>
        <v>0</v>
      </c>
    </row>
    <row r="34" spans="1:3" ht="15" customHeight="1" x14ac:dyDescent="0.2">
      <c r="A34" s="21">
        <v>24</v>
      </c>
      <c r="B34" s="14">
        <v>0</v>
      </c>
      <c r="C34" s="15">
        <f t="shared" si="0"/>
        <v>0</v>
      </c>
    </row>
    <row r="35" spans="1:3" ht="15" customHeight="1" x14ac:dyDescent="0.2">
      <c r="A35" s="10">
        <v>25</v>
      </c>
      <c r="B35" s="14">
        <v>0</v>
      </c>
      <c r="C35" s="15">
        <f t="shared" si="0"/>
        <v>0</v>
      </c>
    </row>
    <row r="36" spans="1:3" ht="15" customHeight="1" x14ac:dyDescent="0.2">
      <c r="A36" s="21">
        <v>26</v>
      </c>
      <c r="B36" s="14">
        <v>0</v>
      </c>
      <c r="C36" s="15">
        <f t="shared" si="0"/>
        <v>0</v>
      </c>
    </row>
    <row r="37" spans="1:3" ht="15" customHeight="1" x14ac:dyDescent="0.2">
      <c r="A37" s="10">
        <v>27</v>
      </c>
      <c r="B37" s="14">
        <v>0</v>
      </c>
      <c r="C37" s="15">
        <f t="shared" si="0"/>
        <v>0</v>
      </c>
    </row>
    <row r="38" spans="1:3" ht="15" customHeight="1" x14ac:dyDescent="0.2">
      <c r="A38" s="21">
        <v>28</v>
      </c>
      <c r="B38" s="14">
        <v>0</v>
      </c>
      <c r="C38" s="15">
        <f t="shared" si="0"/>
        <v>0</v>
      </c>
    </row>
    <row r="39" spans="1:3" ht="15" customHeight="1" x14ac:dyDescent="0.2">
      <c r="A39" s="10">
        <v>29</v>
      </c>
      <c r="B39" s="14">
        <v>0</v>
      </c>
      <c r="C39" s="15">
        <f t="shared" si="0"/>
        <v>0</v>
      </c>
    </row>
    <row r="40" spans="1:3" ht="15" customHeight="1" x14ac:dyDescent="0.2">
      <c r="A40" s="21">
        <v>30</v>
      </c>
      <c r="B40" s="14">
        <v>0</v>
      </c>
      <c r="C40" s="15">
        <f t="shared" si="0"/>
        <v>0</v>
      </c>
    </row>
    <row r="41" spans="1:3" ht="15" customHeight="1" x14ac:dyDescent="0.2">
      <c r="A41" s="10">
        <v>31</v>
      </c>
      <c r="B41" s="14">
        <v>0</v>
      </c>
      <c r="C41" s="15">
        <f t="shared" si="0"/>
        <v>0</v>
      </c>
    </row>
    <row r="42" spans="1:3" ht="15" customHeight="1" x14ac:dyDescent="0.2">
      <c r="A42" s="21">
        <v>32</v>
      </c>
      <c r="B42" s="14">
        <v>0</v>
      </c>
      <c r="C42" s="15">
        <f t="shared" si="0"/>
        <v>0</v>
      </c>
    </row>
    <row r="43" spans="1:3" ht="15" customHeight="1" x14ac:dyDescent="0.2">
      <c r="A43" s="10">
        <v>33</v>
      </c>
      <c r="B43" s="14">
        <v>0</v>
      </c>
      <c r="C43" s="15">
        <f t="shared" si="0"/>
        <v>0</v>
      </c>
    </row>
    <row r="44" spans="1:3" ht="15" customHeight="1" x14ac:dyDescent="0.2">
      <c r="A44" s="21">
        <v>34</v>
      </c>
      <c r="B44" s="14">
        <v>0</v>
      </c>
      <c r="C44" s="15">
        <f t="shared" si="0"/>
        <v>0</v>
      </c>
    </row>
    <row r="45" spans="1:3" ht="15" customHeight="1" x14ac:dyDescent="0.2">
      <c r="A45" s="10">
        <v>35</v>
      </c>
      <c r="B45" s="14">
        <v>0</v>
      </c>
      <c r="C45" s="15">
        <f t="shared" si="0"/>
        <v>0</v>
      </c>
    </row>
    <row r="46" spans="1:3" ht="15" customHeight="1" x14ac:dyDescent="0.2">
      <c r="A46" s="21">
        <v>36</v>
      </c>
      <c r="B46" s="14">
        <v>0</v>
      </c>
      <c r="C46" s="15">
        <f t="shared" si="0"/>
        <v>0</v>
      </c>
    </row>
    <row r="47" spans="1:3" ht="15" customHeight="1" x14ac:dyDescent="0.2">
      <c r="A47" s="10">
        <v>37</v>
      </c>
      <c r="B47" s="14">
        <v>0</v>
      </c>
      <c r="C47" s="15">
        <f t="shared" si="0"/>
        <v>0</v>
      </c>
    </row>
    <row r="48" spans="1:3" ht="15" customHeight="1" x14ac:dyDescent="0.2">
      <c r="A48" s="21">
        <v>38</v>
      </c>
      <c r="B48" s="14">
        <v>0</v>
      </c>
      <c r="C48" s="15">
        <f t="shared" si="0"/>
        <v>0</v>
      </c>
    </row>
    <row r="49" spans="1:3" ht="15" customHeight="1" x14ac:dyDescent="0.2">
      <c r="A49" s="10">
        <v>39</v>
      </c>
      <c r="B49" s="14">
        <v>0</v>
      </c>
      <c r="C49" s="15">
        <f t="shared" si="0"/>
        <v>0</v>
      </c>
    </row>
    <row r="50" spans="1:3" ht="15" customHeight="1" x14ac:dyDescent="0.2">
      <c r="A50" s="21">
        <v>40</v>
      </c>
      <c r="B50" s="14">
        <v>0</v>
      </c>
      <c r="C50" s="15">
        <f t="shared" si="0"/>
        <v>0</v>
      </c>
    </row>
    <row r="51" spans="1:3" ht="15" customHeight="1" x14ac:dyDescent="0.2">
      <c r="A51" s="27" t="s">
        <v>47</v>
      </c>
      <c r="B51" s="421">
        <f>SUM(B10:B50)</f>
        <v>1</v>
      </c>
      <c r="C51" s="28">
        <f>SUM(C10:C50)</f>
        <v>1</v>
      </c>
    </row>
  </sheetData>
  <mergeCells count="1">
    <mergeCell ref="G11:H11"/>
  </mergeCells>
  <phoneticPr fontId="4" type="noConversion"/>
  <pageMargins left="0.5" right="0.5" top="0.5" bottom="0.5" header="0.25" footer="0.25"/>
  <pageSetup scale="1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  <pageSetUpPr fitToPage="1"/>
  </sheetPr>
  <dimension ref="A1:AZ443"/>
  <sheetViews>
    <sheetView topLeftCell="AG1" zoomScale="80" zoomScaleNormal="80" workbookViewId="0">
      <selection activeCell="O25" sqref="O25"/>
    </sheetView>
  </sheetViews>
  <sheetFormatPr defaultColWidth="9.140625" defaultRowHeight="12.75" x14ac:dyDescent="0.2"/>
  <cols>
    <col min="1" max="1" width="8.140625" style="2" customWidth="1"/>
    <col min="2" max="2" width="9.42578125" style="31" customWidth="1"/>
    <col min="3" max="3" width="11.140625" style="31" customWidth="1"/>
    <col min="4" max="4" width="4.5703125" style="1" customWidth="1"/>
    <col min="5" max="5" width="8.140625" style="2" customWidth="1"/>
    <col min="6" max="6" width="9.42578125" style="31" customWidth="1"/>
    <col min="7" max="7" width="11.140625" style="31" customWidth="1"/>
    <col min="8" max="8" width="4.5703125" style="1" customWidth="1"/>
    <col min="9" max="9" width="8.140625" style="2" customWidth="1"/>
    <col min="10" max="10" width="9.42578125" style="31" customWidth="1"/>
    <col min="11" max="11" width="11.140625" style="31" customWidth="1"/>
    <col min="12" max="12" width="4.5703125" style="1" customWidth="1"/>
    <col min="13" max="13" width="8.140625" style="2" customWidth="1"/>
    <col min="14" max="14" width="9.42578125" style="31" customWidth="1"/>
    <col min="15" max="15" width="11.140625" style="31" customWidth="1"/>
    <col min="16" max="16" width="4.5703125" style="1" customWidth="1"/>
    <col min="17" max="17" width="8.140625" style="2" customWidth="1"/>
    <col min="18" max="18" width="9.42578125" style="31" customWidth="1"/>
    <col min="19" max="19" width="11.140625" style="31" customWidth="1"/>
    <col min="20" max="20" width="4.5703125" style="1" customWidth="1"/>
    <col min="21" max="21" width="8.140625" style="2" customWidth="1"/>
    <col min="22" max="22" width="9.42578125" style="31" customWidth="1"/>
    <col min="23" max="23" width="11.140625" style="31" customWidth="1"/>
    <col min="24" max="24" width="4.5703125" style="1" customWidth="1"/>
    <col min="25" max="25" width="8.140625" style="2" customWidth="1"/>
    <col min="26" max="26" width="9.42578125" style="31" customWidth="1"/>
    <col min="27" max="27" width="11.140625" style="31" customWidth="1"/>
    <col min="28" max="28" width="4.5703125" style="1" customWidth="1"/>
    <col min="29" max="29" width="8.140625" style="2" customWidth="1"/>
    <col min="30" max="30" width="9.42578125" style="31" customWidth="1"/>
    <col min="31" max="31" width="11.140625" style="31" customWidth="1"/>
    <col min="32" max="32" width="9.7109375" style="1" customWidth="1"/>
    <col min="33" max="33" width="15.7109375" style="1" customWidth="1"/>
    <col min="34" max="34" width="17.28515625" style="1" customWidth="1"/>
    <col min="35" max="35" width="13" style="1" customWidth="1"/>
    <col min="36" max="36" width="9.140625" style="7" bestFit="1" customWidth="1"/>
    <col min="37" max="38" width="13" style="1" customWidth="1"/>
    <col min="39" max="39" width="9.140625" style="1" bestFit="1" customWidth="1"/>
    <col min="40" max="40" width="13" style="1" customWidth="1"/>
    <col min="41" max="41" width="13" style="1" bestFit="1" customWidth="1"/>
    <col min="42" max="42" width="10.7109375" style="1" bestFit="1" customWidth="1"/>
    <col min="43" max="43" width="11.85546875" style="1" customWidth="1"/>
    <col min="44" max="44" width="14.140625" style="1" customWidth="1"/>
    <col min="45" max="45" width="11.85546875" style="1" customWidth="1"/>
    <col min="46" max="47" width="12" style="1" customWidth="1"/>
    <col min="48" max="48" width="13.7109375" style="1" customWidth="1"/>
    <col min="49" max="50" width="11.85546875" style="1" customWidth="1"/>
    <col min="51" max="51" width="12.140625" style="1" customWidth="1"/>
    <col min="52" max="16384" width="9.140625" style="1"/>
  </cols>
  <sheetData>
    <row r="1" spans="1:52" ht="15" x14ac:dyDescent="0.2">
      <c r="A1" s="30" t="s">
        <v>49</v>
      </c>
      <c r="E1" s="8"/>
      <c r="I1" s="8"/>
      <c r="M1" s="8"/>
      <c r="Q1" s="30" t="s">
        <v>49</v>
      </c>
      <c r="U1" s="8"/>
      <c r="Y1" s="8"/>
      <c r="AC1" s="8"/>
      <c r="AN1" s="363" t="s">
        <v>343</v>
      </c>
      <c r="AO1" s="364"/>
      <c r="AP1" s="364"/>
      <c r="AQ1" s="364"/>
      <c r="AR1" s="364"/>
      <c r="AS1" s="364"/>
      <c r="AT1" s="364"/>
      <c r="AU1" s="364"/>
      <c r="AV1" s="364"/>
      <c r="AW1" s="364"/>
      <c r="AX1" s="364"/>
      <c r="AY1" s="364"/>
      <c r="AZ1" s="364"/>
    </row>
    <row r="2" spans="1:52" x14ac:dyDescent="0.2">
      <c r="A2" s="8" t="s">
        <v>39</v>
      </c>
      <c r="E2" s="8"/>
      <c r="I2" s="8"/>
      <c r="M2" s="8"/>
      <c r="Q2" s="8" t="s">
        <v>39</v>
      </c>
      <c r="U2" s="8"/>
      <c r="Y2" s="8"/>
      <c r="AC2" s="8"/>
      <c r="AJ2" s="1"/>
      <c r="AN2" s="35" t="s">
        <v>187</v>
      </c>
      <c r="AR2" s="1" t="s">
        <v>221</v>
      </c>
    </row>
    <row r="3" spans="1:52" x14ac:dyDescent="0.2">
      <c r="E3" s="32"/>
      <c r="I3" s="32"/>
      <c r="M3" s="32"/>
      <c r="Q3" s="32"/>
      <c r="U3" s="32"/>
      <c r="Y3" s="32"/>
      <c r="AC3" s="32"/>
      <c r="AN3" s="36" t="s">
        <v>188</v>
      </c>
      <c r="AO3" s="10" t="s">
        <v>189</v>
      </c>
      <c r="AR3" s="1" t="s">
        <v>238</v>
      </c>
    </row>
    <row r="4" spans="1:52" x14ac:dyDescent="0.2">
      <c r="C4" s="33"/>
      <c r="D4" s="34" t="s">
        <v>50</v>
      </c>
      <c r="G4" s="33"/>
      <c r="H4" s="9"/>
      <c r="K4" s="33"/>
      <c r="L4" s="9"/>
      <c r="O4" s="33"/>
      <c r="P4" s="9"/>
      <c r="S4" s="33"/>
      <c r="T4" s="9"/>
      <c r="W4" s="33"/>
      <c r="X4" s="9"/>
      <c r="AA4" s="33"/>
      <c r="AB4" s="9"/>
      <c r="AE4" s="33"/>
      <c r="AN4" s="10" t="s">
        <v>11</v>
      </c>
      <c r="AO4" s="10" t="s">
        <v>12</v>
      </c>
      <c r="AR4" s="1" t="s">
        <v>250</v>
      </c>
    </row>
    <row r="5" spans="1:52" x14ac:dyDescent="0.2">
      <c r="B5" s="15"/>
      <c r="C5" s="15" t="s">
        <v>40</v>
      </c>
      <c r="D5" s="10"/>
      <c r="F5" s="15"/>
      <c r="G5" s="15" t="s">
        <v>40</v>
      </c>
      <c r="H5" s="10"/>
      <c r="J5" s="15"/>
      <c r="K5" s="15" t="s">
        <v>40</v>
      </c>
      <c r="L5" s="10"/>
      <c r="N5" s="15"/>
      <c r="O5" s="15" t="s">
        <v>40</v>
      </c>
      <c r="P5" s="10"/>
      <c r="R5" s="15"/>
      <c r="S5" s="15" t="s">
        <v>40</v>
      </c>
      <c r="T5" s="10"/>
      <c r="V5" s="15"/>
      <c r="W5" s="15" t="s">
        <v>40</v>
      </c>
      <c r="X5" s="10"/>
      <c r="Z5" s="15"/>
      <c r="AA5" s="15" t="s">
        <v>40</v>
      </c>
      <c r="AB5" s="10"/>
      <c r="AD5" s="15"/>
      <c r="AE5" s="15" t="s">
        <v>40</v>
      </c>
      <c r="AN5" s="367">
        <v>45474</v>
      </c>
      <c r="AO5" s="368">
        <v>45565</v>
      </c>
      <c r="AP5" s="371">
        <v>0</v>
      </c>
      <c r="AR5" s="1" t="s">
        <v>258</v>
      </c>
    </row>
    <row r="6" spans="1:52" x14ac:dyDescent="0.2">
      <c r="B6" s="35" t="s">
        <v>41</v>
      </c>
      <c r="C6" s="35" t="s">
        <v>42</v>
      </c>
      <c r="D6" s="4" t="s">
        <v>50</v>
      </c>
      <c r="F6" s="35" t="s">
        <v>41</v>
      </c>
      <c r="G6" s="35" t="s">
        <v>42</v>
      </c>
      <c r="H6" s="2"/>
      <c r="J6" s="35" t="s">
        <v>41</v>
      </c>
      <c r="K6" s="35" t="s">
        <v>42</v>
      </c>
      <c r="L6" s="2"/>
      <c r="N6" s="35" t="s">
        <v>41</v>
      </c>
      <c r="O6" s="35" t="s">
        <v>42</v>
      </c>
      <c r="P6" s="2"/>
      <c r="R6" s="35" t="s">
        <v>41</v>
      </c>
      <c r="S6" s="35" t="s">
        <v>42</v>
      </c>
      <c r="T6" s="2"/>
      <c r="V6" s="35" t="s">
        <v>41</v>
      </c>
      <c r="W6" s="35" t="s">
        <v>42</v>
      </c>
      <c r="X6" s="2"/>
      <c r="Z6" s="35" t="s">
        <v>41</v>
      </c>
      <c r="AA6" s="35" t="s">
        <v>42</v>
      </c>
      <c r="AB6" s="2"/>
      <c r="AD6" s="35" t="s">
        <v>41</v>
      </c>
      <c r="AE6" s="35" t="s">
        <v>42</v>
      </c>
      <c r="AK6" s="35" t="s">
        <v>41</v>
      </c>
      <c r="AL6" s="35"/>
      <c r="AM6" s="35"/>
      <c r="AN6" s="369">
        <v>45566</v>
      </c>
      <c r="AO6" s="370">
        <v>45657</v>
      </c>
      <c r="AP6" s="372">
        <v>0</v>
      </c>
      <c r="AR6" s="1" t="s">
        <v>263</v>
      </c>
    </row>
    <row r="7" spans="1:52" ht="15" customHeight="1" x14ac:dyDescent="0.2">
      <c r="A7" s="11" t="s">
        <v>43</v>
      </c>
      <c r="B7" s="36" t="s">
        <v>44</v>
      </c>
      <c r="C7" s="12">
        <f>Summary!C7</f>
        <v>0</v>
      </c>
      <c r="D7" s="37"/>
      <c r="E7" s="11" t="s">
        <v>43</v>
      </c>
      <c r="F7" s="36" t="s">
        <v>44</v>
      </c>
      <c r="G7" s="38">
        <f>$C$7</f>
        <v>0</v>
      </c>
      <c r="H7" s="37"/>
      <c r="I7" s="11" t="s">
        <v>43</v>
      </c>
      <c r="J7" s="36" t="s">
        <v>44</v>
      </c>
      <c r="K7" s="38">
        <f>$C$7</f>
        <v>0</v>
      </c>
      <c r="L7" s="37"/>
      <c r="M7" s="11" t="s">
        <v>43</v>
      </c>
      <c r="N7" s="36" t="s">
        <v>44</v>
      </c>
      <c r="O7" s="38">
        <f>$C$7</f>
        <v>0</v>
      </c>
      <c r="P7" s="37"/>
      <c r="Q7" s="11" t="s">
        <v>43</v>
      </c>
      <c r="R7" s="36" t="s">
        <v>44</v>
      </c>
      <c r="S7" s="38">
        <f>$C$7</f>
        <v>0</v>
      </c>
      <c r="T7" s="37"/>
      <c r="U7" s="11" t="s">
        <v>43</v>
      </c>
      <c r="V7" s="36" t="s">
        <v>44</v>
      </c>
      <c r="W7" s="38">
        <f>$C$7</f>
        <v>0</v>
      </c>
      <c r="X7" s="37"/>
      <c r="Y7" s="11" t="s">
        <v>43</v>
      </c>
      <c r="Z7" s="36" t="s">
        <v>44</v>
      </c>
      <c r="AA7" s="38">
        <f>$C$7</f>
        <v>0</v>
      </c>
      <c r="AB7" s="37"/>
      <c r="AC7" s="11" t="s">
        <v>43</v>
      </c>
      <c r="AD7" s="36" t="s">
        <v>44</v>
      </c>
      <c r="AE7" s="38">
        <f>$C$7</f>
        <v>0</v>
      </c>
      <c r="AF7" s="10"/>
      <c r="AI7" s="10"/>
      <c r="AJ7" s="11" t="s">
        <v>43</v>
      </c>
      <c r="AK7" s="36" t="s">
        <v>44</v>
      </c>
      <c r="AL7" s="36"/>
      <c r="AM7" s="36" t="str">
        <f>AJ7</f>
        <v>Quarter</v>
      </c>
      <c r="AN7" s="369">
        <v>45658</v>
      </c>
      <c r="AO7" s="370">
        <v>45747</v>
      </c>
      <c r="AP7" s="372">
        <v>0</v>
      </c>
      <c r="AQ7" s="10"/>
      <c r="AR7" s="1" t="s">
        <v>312</v>
      </c>
    </row>
    <row r="8" spans="1:52" ht="15.75" customHeight="1" x14ac:dyDescent="0.2">
      <c r="A8" s="11"/>
      <c r="B8" s="36"/>
      <c r="C8" s="38"/>
      <c r="D8" s="37"/>
      <c r="E8" s="11"/>
      <c r="F8" s="36"/>
      <c r="G8" s="38"/>
      <c r="H8" s="37"/>
      <c r="I8" s="11"/>
      <c r="J8" s="36"/>
      <c r="K8" s="38"/>
      <c r="L8" s="37"/>
      <c r="M8" s="11"/>
      <c r="N8" s="36"/>
      <c r="O8" s="38"/>
      <c r="P8" s="37"/>
      <c r="Q8" s="11"/>
      <c r="R8" s="36"/>
      <c r="S8" s="38"/>
      <c r="T8" s="37"/>
      <c r="U8" s="11"/>
      <c r="V8" s="36"/>
      <c r="W8" s="38"/>
      <c r="X8" s="37"/>
      <c r="Y8" s="11"/>
      <c r="Z8" s="36"/>
      <c r="AA8" s="38"/>
      <c r="AB8" s="37"/>
      <c r="AC8" s="11"/>
      <c r="AD8" s="36"/>
      <c r="AE8" s="38"/>
      <c r="AF8" s="10"/>
      <c r="AI8" s="10"/>
      <c r="AJ8" s="39"/>
      <c r="AK8" s="10"/>
      <c r="AL8" s="10"/>
      <c r="AM8" s="10"/>
      <c r="AN8" s="369">
        <v>45748</v>
      </c>
      <c r="AO8" s="370">
        <v>45838</v>
      </c>
      <c r="AP8" s="372">
        <v>0</v>
      </c>
      <c r="AQ8" s="10"/>
      <c r="AR8" s="1" t="s">
        <v>321</v>
      </c>
    </row>
    <row r="9" spans="1:52" ht="15" customHeight="1" x14ac:dyDescent="0.2">
      <c r="A9" s="10">
        <v>1</v>
      </c>
      <c r="B9" s="15">
        <f>AK9</f>
        <v>6.9562715261826218E-3</v>
      </c>
      <c r="C9" s="15">
        <f>B9/(1+$C$7)^(A9*0.25)</f>
        <v>6.9562715261826218E-3</v>
      </c>
      <c r="D9" s="40"/>
      <c r="E9" s="10">
        <v>51</v>
      </c>
      <c r="F9" s="15">
        <f>AK59</f>
        <v>8.2009484074362766E-4</v>
      </c>
      <c r="G9" s="15">
        <f t="shared" ref="G9:G58" si="0">F9/(1+$C$7)^(E9*0.25)</f>
        <v>8.2009484074362766E-4</v>
      </c>
      <c r="H9" s="40"/>
      <c r="I9" s="10">
        <v>101</v>
      </c>
      <c r="J9" s="15">
        <f>AK109</f>
        <v>1.2215213557139099E-3</v>
      </c>
      <c r="K9" s="15">
        <f t="shared" ref="K9:K58" si="1">J9/(1+$C$7)^(I9*0.25)</f>
        <v>1.2215213557139099E-3</v>
      </c>
      <c r="L9" s="40"/>
      <c r="M9" s="10">
        <v>151</v>
      </c>
      <c r="N9" s="15">
        <f>AK159</f>
        <v>0</v>
      </c>
      <c r="O9" s="15">
        <f t="shared" ref="O9:O58" si="2">N9/(1+$C$7)^(M9*0.25)</f>
        <v>0</v>
      </c>
      <c r="P9" s="40"/>
      <c r="Q9" s="10">
        <v>201</v>
      </c>
      <c r="R9" s="15">
        <f>AK209</f>
        <v>0</v>
      </c>
      <c r="S9" s="15">
        <f t="shared" ref="S9:S58" si="3">R9/(1+$C$7)^(Q9*0.25)</f>
        <v>0</v>
      </c>
      <c r="T9" s="40"/>
      <c r="U9" s="10">
        <v>251</v>
      </c>
      <c r="V9" s="15">
        <f>AK259</f>
        <v>0</v>
      </c>
      <c r="W9" s="15">
        <f t="shared" ref="W9:W58" si="4">V9/(1+$C$7)^(U9*0.25)</f>
        <v>0</v>
      </c>
      <c r="X9" s="40"/>
      <c r="Y9" s="10">
        <v>301</v>
      </c>
      <c r="Z9" s="15">
        <f>AK309</f>
        <v>0</v>
      </c>
      <c r="AA9" s="15">
        <f t="shared" ref="AA9:AA58" si="5">Z9/(1+$C$7)^(Y9*0.25)</f>
        <v>0</v>
      </c>
      <c r="AB9" s="40"/>
      <c r="AC9" s="10">
        <v>351</v>
      </c>
      <c r="AD9" s="15">
        <f>AK359</f>
        <v>0</v>
      </c>
      <c r="AE9" s="15">
        <f t="shared" ref="AE9:AE58" si="6">AD9/(1+$C$7)^(AC9*0.25)</f>
        <v>0</v>
      </c>
      <c r="AF9" s="20"/>
      <c r="AG9" s="295" t="s">
        <v>51</v>
      </c>
      <c r="AH9" s="296"/>
      <c r="AI9" s="17"/>
      <c r="AJ9" s="21">
        <v>1</v>
      </c>
      <c r="AK9" s="64">
        <f>AP9</f>
        <v>6.9562715261826218E-3</v>
      </c>
      <c r="AL9" s="41"/>
      <c r="AM9" s="80">
        <f t="shared" ref="AM9:AM32" si="7">AJ9</f>
        <v>1</v>
      </c>
      <c r="AN9" s="369">
        <v>45839</v>
      </c>
      <c r="AO9" s="370">
        <v>45930</v>
      </c>
      <c r="AP9" s="372">
        <v>6.9562715261826218E-3</v>
      </c>
      <c r="AQ9" s="17"/>
      <c r="AR9" s="1" t="s">
        <v>334</v>
      </c>
    </row>
    <row r="10" spans="1:52" ht="15" customHeight="1" x14ac:dyDescent="0.2">
      <c r="A10" s="21">
        <v>2</v>
      </c>
      <c r="B10" s="15">
        <f t="shared" ref="B10:B57" si="8">AK10</f>
        <v>1.8840281845920702E-2</v>
      </c>
      <c r="C10" s="15">
        <f t="shared" ref="C10:C58" si="9">B10/(1+$C$7)^(A10*0.25)</f>
        <v>1.8840281845920702E-2</v>
      </c>
      <c r="D10" s="40"/>
      <c r="E10" s="21">
        <v>52</v>
      </c>
      <c r="F10" s="15">
        <f t="shared" ref="F10:F57" si="10">AK60</f>
        <v>7.7188334123106609E-4</v>
      </c>
      <c r="G10" s="15">
        <f t="shared" si="0"/>
        <v>7.7188334123106609E-4</v>
      </c>
      <c r="H10" s="40"/>
      <c r="I10" s="21">
        <v>102</v>
      </c>
      <c r="J10" s="15">
        <f t="shared" ref="J10:J57" si="11">AK110</f>
        <v>1.2280886748306512E-3</v>
      </c>
      <c r="K10" s="15">
        <f t="shared" si="1"/>
        <v>1.2280886748306512E-3</v>
      </c>
      <c r="L10" s="40"/>
      <c r="M10" s="21">
        <v>152</v>
      </c>
      <c r="N10" s="15">
        <f t="shared" ref="N10:N57" si="12">AK160</f>
        <v>0</v>
      </c>
      <c r="O10" s="15">
        <f t="shared" si="2"/>
        <v>0</v>
      </c>
      <c r="P10" s="40"/>
      <c r="Q10" s="21">
        <v>202</v>
      </c>
      <c r="R10" s="15">
        <f t="shared" ref="R10:R57" si="13">AK210</f>
        <v>0</v>
      </c>
      <c r="S10" s="15">
        <f t="shared" si="3"/>
        <v>0</v>
      </c>
      <c r="T10" s="40"/>
      <c r="U10" s="21">
        <v>252</v>
      </c>
      <c r="V10" s="15">
        <f t="shared" ref="V10:V57" si="14">AK260</f>
        <v>0</v>
      </c>
      <c r="W10" s="15">
        <f t="shared" si="4"/>
        <v>0</v>
      </c>
      <c r="X10" s="40"/>
      <c r="Y10" s="21">
        <v>302</v>
      </c>
      <c r="Z10" s="15">
        <f t="shared" ref="Z10:Z57" si="15">AK310</f>
        <v>0</v>
      </c>
      <c r="AA10" s="15">
        <f t="shared" si="5"/>
        <v>0</v>
      </c>
      <c r="AB10" s="40"/>
      <c r="AC10" s="21">
        <v>352</v>
      </c>
      <c r="AD10" s="15">
        <f t="shared" ref="AD10:AD58" si="16">AK360</f>
        <v>0</v>
      </c>
      <c r="AE10" s="15">
        <f t="shared" si="6"/>
        <v>0</v>
      </c>
      <c r="AF10" s="20"/>
      <c r="AG10" s="297"/>
      <c r="AH10" s="298"/>
      <c r="AJ10" s="42">
        <f>AJ9+1</f>
        <v>2</v>
      </c>
      <c r="AK10" s="64">
        <f t="shared" ref="AK10:AK73" si="17">AP10</f>
        <v>1.8840281845920702E-2</v>
      </c>
      <c r="AL10" s="41"/>
      <c r="AM10" s="80">
        <f t="shared" si="7"/>
        <v>2</v>
      </c>
      <c r="AN10" s="369">
        <v>45931</v>
      </c>
      <c r="AO10" s="370">
        <v>46022</v>
      </c>
      <c r="AP10" s="372">
        <v>1.8840281845920702E-2</v>
      </c>
      <c r="AQ10" s="17"/>
      <c r="AR10" s="1" t="s">
        <v>336</v>
      </c>
    </row>
    <row r="11" spans="1:52" ht="15" customHeight="1" x14ac:dyDescent="0.2">
      <c r="A11" s="10">
        <v>3</v>
      </c>
      <c r="B11" s="15">
        <f t="shared" si="8"/>
        <v>3.3801833908357122E-2</v>
      </c>
      <c r="C11" s="15">
        <f t="shared" si="9"/>
        <v>3.3801833908357122E-2</v>
      </c>
      <c r="D11" s="40"/>
      <c r="E11" s="10">
        <v>53</v>
      </c>
      <c r="F11" s="15">
        <f t="shared" si="10"/>
        <v>7.4789827997985439E-4</v>
      </c>
      <c r="G11" s="15">
        <f>F11/(1+$C$7)^(E11*0.25)</f>
        <v>7.4789827997985439E-4</v>
      </c>
      <c r="H11" s="40"/>
      <c r="I11" s="10">
        <v>103</v>
      </c>
      <c r="J11" s="15">
        <f t="shared" si="11"/>
        <v>1.2215213557139097E-3</v>
      </c>
      <c r="K11" s="15">
        <f t="shared" si="1"/>
        <v>1.2215213557139097E-3</v>
      </c>
      <c r="L11" s="40"/>
      <c r="M11" s="10">
        <v>153</v>
      </c>
      <c r="N11" s="15">
        <f t="shared" si="12"/>
        <v>0</v>
      </c>
      <c r="O11" s="15">
        <f t="shared" si="2"/>
        <v>0</v>
      </c>
      <c r="P11" s="40"/>
      <c r="Q11" s="10">
        <v>203</v>
      </c>
      <c r="R11" s="15">
        <f t="shared" si="13"/>
        <v>0</v>
      </c>
      <c r="S11" s="15">
        <f t="shared" si="3"/>
        <v>0</v>
      </c>
      <c r="T11" s="40"/>
      <c r="U11" s="10">
        <v>253</v>
      </c>
      <c r="V11" s="15">
        <f t="shared" si="14"/>
        <v>0</v>
      </c>
      <c r="W11" s="15">
        <f t="shared" si="4"/>
        <v>0</v>
      </c>
      <c r="X11" s="40"/>
      <c r="Y11" s="10">
        <v>303</v>
      </c>
      <c r="Z11" s="15">
        <f t="shared" si="15"/>
        <v>0</v>
      </c>
      <c r="AA11" s="15">
        <f t="shared" si="5"/>
        <v>0</v>
      </c>
      <c r="AB11" s="40"/>
      <c r="AC11" s="10">
        <v>353</v>
      </c>
      <c r="AD11" s="15">
        <f t="shared" si="16"/>
        <v>0</v>
      </c>
      <c r="AE11" s="15">
        <f t="shared" si="6"/>
        <v>0</v>
      </c>
      <c r="AF11" s="20"/>
      <c r="AG11" s="299" t="s">
        <v>46</v>
      </c>
      <c r="AH11" s="310">
        <f>AE59</f>
        <v>1.0000000000000002</v>
      </c>
      <c r="AJ11" s="42">
        <f t="shared" ref="AJ11:AJ74" si="18">AJ10+1</f>
        <v>3</v>
      </c>
      <c r="AK11" s="64">
        <f t="shared" si="17"/>
        <v>3.3801833908357122E-2</v>
      </c>
      <c r="AL11" s="41"/>
      <c r="AM11" s="80">
        <f t="shared" si="7"/>
        <v>3</v>
      </c>
      <c r="AN11" s="369">
        <v>46023</v>
      </c>
      <c r="AO11" s="370">
        <v>46112</v>
      </c>
      <c r="AP11" s="372">
        <v>3.3801833908357122E-2</v>
      </c>
      <c r="AQ11" s="17"/>
      <c r="AR11" s="1" t="s">
        <v>340</v>
      </c>
    </row>
    <row r="12" spans="1:52" ht="15" customHeight="1" x14ac:dyDescent="0.2">
      <c r="A12" s="21">
        <v>4</v>
      </c>
      <c r="B12" s="15">
        <f t="shared" si="8"/>
        <v>4.711647684600475E-2</v>
      </c>
      <c r="C12" s="15">
        <f t="shared" si="9"/>
        <v>4.711647684600475E-2</v>
      </c>
      <c r="D12" s="40"/>
      <c r="E12" s="21">
        <v>54</v>
      </c>
      <c r="F12" s="15">
        <f t="shared" si="10"/>
        <v>7.4088560598694502E-4</v>
      </c>
      <c r="G12" s="15">
        <f t="shared" si="0"/>
        <v>7.4088560598694502E-4</v>
      </c>
      <c r="H12" s="40"/>
      <c r="I12" s="21">
        <v>104</v>
      </c>
      <c r="J12" s="15">
        <f t="shared" si="11"/>
        <v>1.2149540365971685E-3</v>
      </c>
      <c r="K12" s="15">
        <f t="shared" si="1"/>
        <v>1.2149540365971685E-3</v>
      </c>
      <c r="L12" s="40"/>
      <c r="M12" s="21">
        <v>154</v>
      </c>
      <c r="N12" s="15">
        <f t="shared" si="12"/>
        <v>0</v>
      </c>
      <c r="O12" s="15">
        <f t="shared" si="2"/>
        <v>0</v>
      </c>
      <c r="P12" s="40"/>
      <c r="Q12" s="21">
        <v>204</v>
      </c>
      <c r="R12" s="15">
        <f t="shared" si="13"/>
        <v>0</v>
      </c>
      <c r="S12" s="15">
        <f t="shared" si="3"/>
        <v>0</v>
      </c>
      <c r="T12" s="40"/>
      <c r="U12" s="21">
        <v>254</v>
      </c>
      <c r="V12" s="15">
        <f t="shared" si="14"/>
        <v>0</v>
      </c>
      <c r="W12" s="15">
        <f t="shared" si="4"/>
        <v>0</v>
      </c>
      <c r="X12" s="40"/>
      <c r="Y12" s="21">
        <v>304</v>
      </c>
      <c r="Z12" s="15">
        <f t="shared" si="15"/>
        <v>0</v>
      </c>
      <c r="AA12" s="15">
        <f t="shared" si="5"/>
        <v>0</v>
      </c>
      <c r="AB12" s="40"/>
      <c r="AC12" s="21">
        <v>354</v>
      </c>
      <c r="AD12" s="15">
        <f t="shared" si="16"/>
        <v>0</v>
      </c>
      <c r="AE12" s="15">
        <f t="shared" si="6"/>
        <v>0</v>
      </c>
      <c r="AF12" s="20"/>
      <c r="AG12" s="301">
        <v>0</v>
      </c>
      <c r="AH12" s="302">
        <f t="dataTable" ref="AH12:AH19" dt2D="0" dtr="0" r1="C7" ca="1"/>
        <v>1.0000000000000002</v>
      </c>
      <c r="AJ12" s="42">
        <f t="shared" si="18"/>
        <v>4</v>
      </c>
      <c r="AK12" s="64">
        <f t="shared" si="17"/>
        <v>4.711647684600475E-2</v>
      </c>
      <c r="AL12" s="41"/>
      <c r="AM12" s="80">
        <f t="shared" si="7"/>
        <v>4</v>
      </c>
      <c r="AN12" s="369">
        <v>46113</v>
      </c>
      <c r="AO12" s="370">
        <v>46203</v>
      </c>
      <c r="AP12" s="372">
        <v>4.711647684600475E-2</v>
      </c>
      <c r="AQ12" s="17"/>
      <c r="AR12" s="395" t="s">
        <v>342</v>
      </c>
      <c r="AS12" s="364"/>
      <c r="AT12" s="364"/>
      <c r="AU12" s="364"/>
      <c r="AV12" s="364"/>
    </row>
    <row r="13" spans="1:52" ht="15" customHeight="1" x14ac:dyDescent="0.2">
      <c r="A13" s="10">
        <v>5</v>
      </c>
      <c r="B13" s="15">
        <f t="shared" si="8"/>
        <v>5.4830074799384787E-2</v>
      </c>
      <c r="C13" s="15">
        <f>B13/(1+$C$7)^(A13*0.25)</f>
        <v>5.4830074799384787E-2</v>
      </c>
      <c r="D13" s="40"/>
      <c r="E13" s="10">
        <v>55</v>
      </c>
      <c r="F13" s="15">
        <f t="shared" si="10"/>
        <v>7.2289500528959286E-4</v>
      </c>
      <c r="G13" s="15">
        <f t="shared" si="0"/>
        <v>7.2289500528959286E-4</v>
      </c>
      <c r="H13" s="40"/>
      <c r="I13" s="10">
        <v>105</v>
      </c>
      <c r="J13" s="15">
        <f t="shared" si="11"/>
        <v>1.2215213557139099E-3</v>
      </c>
      <c r="K13" s="15">
        <f t="shared" si="1"/>
        <v>1.2215213557139099E-3</v>
      </c>
      <c r="L13" s="40"/>
      <c r="M13" s="10">
        <v>155</v>
      </c>
      <c r="N13" s="15">
        <f t="shared" si="12"/>
        <v>0</v>
      </c>
      <c r="O13" s="15">
        <f t="shared" si="2"/>
        <v>0</v>
      </c>
      <c r="P13" s="40"/>
      <c r="Q13" s="10">
        <v>205</v>
      </c>
      <c r="R13" s="15">
        <f t="shared" si="13"/>
        <v>0</v>
      </c>
      <c r="S13" s="15">
        <f t="shared" si="3"/>
        <v>0</v>
      </c>
      <c r="T13" s="40"/>
      <c r="U13" s="10">
        <v>255</v>
      </c>
      <c r="V13" s="15">
        <f t="shared" si="14"/>
        <v>0</v>
      </c>
      <c r="W13" s="15">
        <f t="shared" si="4"/>
        <v>0</v>
      </c>
      <c r="X13" s="40"/>
      <c r="Y13" s="10">
        <v>305</v>
      </c>
      <c r="Z13" s="15">
        <f t="shared" si="15"/>
        <v>0</v>
      </c>
      <c r="AA13" s="15">
        <f t="shared" si="5"/>
        <v>0</v>
      </c>
      <c r="AB13" s="40"/>
      <c r="AC13" s="10">
        <v>355</v>
      </c>
      <c r="AD13" s="15">
        <f t="shared" si="16"/>
        <v>0</v>
      </c>
      <c r="AE13" s="15">
        <f t="shared" si="6"/>
        <v>0</v>
      </c>
      <c r="AF13" s="20"/>
      <c r="AG13" s="301">
        <f t="shared" ref="AG13:AG24" si="19">ROUND(AG12+0.01,2)</f>
        <v>0.01</v>
      </c>
      <c r="AH13" s="302">
        <v>0.95290714847982172</v>
      </c>
      <c r="AJ13" s="42">
        <f t="shared" si="18"/>
        <v>5</v>
      </c>
      <c r="AK13" s="64">
        <f t="shared" si="17"/>
        <v>5.4830074799384787E-2</v>
      </c>
      <c r="AL13" s="41"/>
      <c r="AM13" s="80">
        <f t="shared" si="7"/>
        <v>5</v>
      </c>
      <c r="AN13" s="369">
        <v>46204</v>
      </c>
      <c r="AO13" s="370">
        <v>46295</v>
      </c>
      <c r="AP13" s="372">
        <v>5.4830074799384787E-2</v>
      </c>
      <c r="AQ13" s="17"/>
      <c r="AR13" s="81"/>
    </row>
    <row r="14" spans="1:52" ht="15" customHeight="1" x14ac:dyDescent="0.2">
      <c r="A14" s="21">
        <v>6</v>
      </c>
      <c r="B14" s="15">
        <f t="shared" si="8"/>
        <v>5.6452087208339941E-2</v>
      </c>
      <c r="C14" s="15">
        <f t="shared" si="9"/>
        <v>5.6452087208339941E-2</v>
      </c>
      <c r="D14" s="40"/>
      <c r="E14" s="21">
        <v>56</v>
      </c>
      <c r="F14" s="15">
        <f t="shared" si="10"/>
        <v>7.0643829390514739E-4</v>
      </c>
      <c r="G14" s="15">
        <f t="shared" si="0"/>
        <v>7.0643829390514739E-4</v>
      </c>
      <c r="H14" s="40"/>
      <c r="I14" s="21">
        <v>106</v>
      </c>
      <c r="J14" s="15">
        <f t="shared" si="11"/>
        <v>1.2280886748306512E-3</v>
      </c>
      <c r="K14" s="15">
        <f t="shared" si="1"/>
        <v>1.2280886748306512E-3</v>
      </c>
      <c r="L14" s="40"/>
      <c r="M14" s="21">
        <v>156</v>
      </c>
      <c r="N14" s="15">
        <f t="shared" si="12"/>
        <v>0</v>
      </c>
      <c r="O14" s="15">
        <f t="shared" si="2"/>
        <v>0</v>
      </c>
      <c r="P14" s="40"/>
      <c r="Q14" s="21">
        <v>206</v>
      </c>
      <c r="R14" s="15">
        <f t="shared" si="13"/>
        <v>0</v>
      </c>
      <c r="S14" s="15">
        <f t="shared" si="3"/>
        <v>0</v>
      </c>
      <c r="T14" s="40"/>
      <c r="U14" s="21">
        <v>256</v>
      </c>
      <c r="V14" s="15">
        <f t="shared" si="14"/>
        <v>0</v>
      </c>
      <c r="W14" s="15">
        <f t="shared" si="4"/>
        <v>0</v>
      </c>
      <c r="X14" s="40"/>
      <c r="Y14" s="21">
        <v>306</v>
      </c>
      <c r="Z14" s="15">
        <f t="shared" si="15"/>
        <v>0</v>
      </c>
      <c r="AA14" s="15">
        <f t="shared" si="5"/>
        <v>0</v>
      </c>
      <c r="AB14" s="40"/>
      <c r="AC14" s="21">
        <v>356</v>
      </c>
      <c r="AD14" s="15">
        <f t="shared" si="16"/>
        <v>0</v>
      </c>
      <c r="AE14" s="15">
        <f t="shared" si="6"/>
        <v>0</v>
      </c>
      <c r="AF14" s="20"/>
      <c r="AG14" s="301">
        <f t="shared" si="19"/>
        <v>0.02</v>
      </c>
      <c r="AH14" s="302">
        <v>0.91201787049813388</v>
      </c>
      <c r="AJ14" s="42">
        <f t="shared" si="18"/>
        <v>6</v>
      </c>
      <c r="AK14" s="64">
        <f t="shared" si="17"/>
        <v>5.6452087208339941E-2</v>
      </c>
      <c r="AL14" s="41"/>
      <c r="AM14" s="80">
        <f t="shared" si="7"/>
        <v>6</v>
      </c>
      <c r="AN14" s="369">
        <v>46296</v>
      </c>
      <c r="AO14" s="370">
        <v>46387</v>
      </c>
      <c r="AP14" s="372">
        <v>5.6452087208339941E-2</v>
      </c>
      <c r="AQ14" s="17"/>
      <c r="AR14" s="81"/>
    </row>
    <row r="15" spans="1:52" ht="15" customHeight="1" x14ac:dyDescent="0.2">
      <c r="A15" s="10">
        <v>7</v>
      </c>
      <c r="B15" s="15">
        <f t="shared" si="8"/>
        <v>5.7837699243069668E-2</v>
      </c>
      <c r="C15" s="15">
        <f t="shared" si="9"/>
        <v>5.7837699243069668E-2</v>
      </c>
      <c r="D15" s="40"/>
      <c r="E15" s="10">
        <v>57</v>
      </c>
      <c r="F15" s="15">
        <f t="shared" si="10"/>
        <v>7.1096805972252974E-4</v>
      </c>
      <c r="G15" s="15">
        <f t="shared" si="0"/>
        <v>7.1096805972252974E-4</v>
      </c>
      <c r="H15" s="40"/>
      <c r="I15" s="10">
        <v>107</v>
      </c>
      <c r="J15" s="15">
        <f t="shared" si="11"/>
        <v>1.2215213557139099E-3</v>
      </c>
      <c r="K15" s="15">
        <f t="shared" si="1"/>
        <v>1.2215213557139099E-3</v>
      </c>
      <c r="L15" s="40"/>
      <c r="M15" s="10">
        <v>157</v>
      </c>
      <c r="N15" s="15">
        <f t="shared" si="12"/>
        <v>0</v>
      </c>
      <c r="O15" s="15">
        <f t="shared" si="2"/>
        <v>0</v>
      </c>
      <c r="P15" s="40"/>
      <c r="Q15" s="10">
        <v>207</v>
      </c>
      <c r="R15" s="15">
        <f t="shared" si="13"/>
        <v>0</v>
      </c>
      <c r="S15" s="15">
        <f t="shared" si="3"/>
        <v>0</v>
      </c>
      <c r="T15" s="40"/>
      <c r="U15" s="10">
        <v>257</v>
      </c>
      <c r="V15" s="15">
        <f t="shared" si="14"/>
        <v>0</v>
      </c>
      <c r="W15" s="15">
        <f t="shared" si="4"/>
        <v>0</v>
      </c>
      <c r="X15" s="40"/>
      <c r="Y15" s="10">
        <v>307</v>
      </c>
      <c r="Z15" s="15">
        <f t="shared" si="15"/>
        <v>0</v>
      </c>
      <c r="AA15" s="15">
        <f t="shared" si="5"/>
        <v>0</v>
      </c>
      <c r="AB15" s="40"/>
      <c r="AC15" s="10">
        <v>357</v>
      </c>
      <c r="AD15" s="15">
        <f t="shared" si="16"/>
        <v>0</v>
      </c>
      <c r="AE15" s="15">
        <f t="shared" si="6"/>
        <v>0</v>
      </c>
      <c r="AF15" s="20"/>
      <c r="AG15" s="301">
        <f t="shared" si="19"/>
        <v>0.03</v>
      </c>
      <c r="AH15" s="302">
        <v>0.87599257294968658</v>
      </c>
      <c r="AJ15" s="42">
        <f t="shared" si="18"/>
        <v>7</v>
      </c>
      <c r="AK15" s="64">
        <f t="shared" si="17"/>
        <v>5.7837699243069668E-2</v>
      </c>
      <c r="AL15" s="41"/>
      <c r="AM15" s="80">
        <f t="shared" si="7"/>
        <v>7</v>
      </c>
      <c r="AN15" s="369">
        <v>46388</v>
      </c>
      <c r="AO15" s="370">
        <v>46477</v>
      </c>
      <c r="AP15" s="372">
        <v>5.7837699243069668E-2</v>
      </c>
      <c r="AQ15" s="17"/>
      <c r="AR15" s="81"/>
    </row>
    <row r="16" spans="1:52" ht="15" customHeight="1" x14ac:dyDescent="0.2">
      <c r="A16" s="21">
        <v>8</v>
      </c>
      <c r="B16" s="15">
        <f t="shared" si="8"/>
        <v>5.9038800926713167E-2</v>
      </c>
      <c r="C16" s="15">
        <f t="shared" si="9"/>
        <v>5.9038800926713167E-2</v>
      </c>
      <c r="D16" s="40"/>
      <c r="E16" s="21">
        <v>58</v>
      </c>
      <c r="F16" s="15">
        <f t="shared" si="10"/>
        <v>7.2659636677600847E-4</v>
      </c>
      <c r="G16" s="15">
        <f t="shared" si="0"/>
        <v>7.2659636677600847E-4</v>
      </c>
      <c r="H16" s="40"/>
      <c r="I16" s="21">
        <v>108</v>
      </c>
      <c r="J16" s="15">
        <f t="shared" si="11"/>
        <v>1.2149540365971685E-3</v>
      </c>
      <c r="K16" s="15">
        <f t="shared" si="1"/>
        <v>1.2149540365971685E-3</v>
      </c>
      <c r="L16" s="40"/>
      <c r="M16" s="21">
        <v>158</v>
      </c>
      <c r="N16" s="15">
        <f t="shared" si="12"/>
        <v>0</v>
      </c>
      <c r="O16" s="15">
        <f t="shared" si="2"/>
        <v>0</v>
      </c>
      <c r="P16" s="40"/>
      <c r="Q16" s="21">
        <v>208</v>
      </c>
      <c r="R16" s="15">
        <f t="shared" si="13"/>
        <v>0</v>
      </c>
      <c r="S16" s="15">
        <f t="shared" si="3"/>
        <v>0</v>
      </c>
      <c r="T16" s="40"/>
      <c r="U16" s="21">
        <v>258</v>
      </c>
      <c r="V16" s="15">
        <f t="shared" si="14"/>
        <v>0</v>
      </c>
      <c r="W16" s="15">
        <f t="shared" si="4"/>
        <v>0</v>
      </c>
      <c r="X16" s="40"/>
      <c r="Y16" s="21">
        <v>308</v>
      </c>
      <c r="Z16" s="15">
        <f t="shared" si="15"/>
        <v>0</v>
      </c>
      <c r="AA16" s="15">
        <f t="shared" si="5"/>
        <v>0</v>
      </c>
      <c r="AB16" s="40"/>
      <c r="AC16" s="21">
        <v>358</v>
      </c>
      <c r="AD16" s="15">
        <f t="shared" si="16"/>
        <v>0</v>
      </c>
      <c r="AE16" s="15">
        <f t="shared" si="6"/>
        <v>0</v>
      </c>
      <c r="AF16" s="20"/>
      <c r="AG16" s="301">
        <f t="shared" si="19"/>
        <v>0.04</v>
      </c>
      <c r="AH16" s="302">
        <v>0.84383606479983264</v>
      </c>
      <c r="AJ16" s="42">
        <f t="shared" si="18"/>
        <v>8</v>
      </c>
      <c r="AK16" s="64">
        <f t="shared" si="17"/>
        <v>5.9038800926713167E-2</v>
      </c>
      <c r="AL16" s="41"/>
      <c r="AM16" s="80">
        <f t="shared" si="7"/>
        <v>8</v>
      </c>
      <c r="AN16" s="369">
        <v>46478</v>
      </c>
      <c r="AO16" s="370">
        <v>46568</v>
      </c>
      <c r="AP16" s="372">
        <v>5.9038800926713167E-2</v>
      </c>
      <c r="AQ16" s="17"/>
      <c r="AR16" s="81"/>
    </row>
    <row r="17" spans="1:42" ht="15" customHeight="1" x14ac:dyDescent="0.2">
      <c r="A17" s="10">
        <v>9</v>
      </c>
      <c r="B17" s="15">
        <f t="shared" si="8"/>
        <v>5.8065482708997126E-2</v>
      </c>
      <c r="C17" s="15">
        <f t="shared" si="9"/>
        <v>5.8065482708997126E-2</v>
      </c>
      <c r="D17" s="40"/>
      <c r="E17" s="10">
        <v>59</v>
      </c>
      <c r="F17" s="15">
        <f t="shared" si="10"/>
        <v>7.3772136279402962E-4</v>
      </c>
      <c r="G17" s="15">
        <f t="shared" si="0"/>
        <v>7.3772136279402962E-4</v>
      </c>
      <c r="H17" s="40"/>
      <c r="I17" s="10">
        <v>109</v>
      </c>
      <c r="J17" s="15">
        <f t="shared" si="11"/>
        <v>1.2215213557139099E-3</v>
      </c>
      <c r="K17" s="15">
        <f t="shared" si="1"/>
        <v>1.2215213557139099E-3</v>
      </c>
      <c r="L17" s="40"/>
      <c r="M17" s="10">
        <v>159</v>
      </c>
      <c r="N17" s="15">
        <f t="shared" si="12"/>
        <v>0</v>
      </c>
      <c r="O17" s="15">
        <f t="shared" si="2"/>
        <v>0</v>
      </c>
      <c r="P17" s="40"/>
      <c r="Q17" s="10">
        <v>209</v>
      </c>
      <c r="R17" s="15">
        <f t="shared" si="13"/>
        <v>0</v>
      </c>
      <c r="S17" s="15">
        <f t="shared" si="3"/>
        <v>0</v>
      </c>
      <c r="T17" s="40"/>
      <c r="U17" s="10">
        <v>259</v>
      </c>
      <c r="V17" s="15">
        <f t="shared" si="14"/>
        <v>0</v>
      </c>
      <c r="W17" s="15">
        <f t="shared" si="4"/>
        <v>0</v>
      </c>
      <c r="X17" s="40"/>
      <c r="Y17" s="10">
        <v>309</v>
      </c>
      <c r="Z17" s="15">
        <f t="shared" si="15"/>
        <v>0</v>
      </c>
      <c r="AA17" s="15">
        <f t="shared" si="5"/>
        <v>0</v>
      </c>
      <c r="AB17" s="40"/>
      <c r="AC17" s="10">
        <v>359</v>
      </c>
      <c r="AD17" s="15">
        <f t="shared" si="16"/>
        <v>0</v>
      </c>
      <c r="AE17" s="15">
        <f t="shared" si="6"/>
        <v>0</v>
      </c>
      <c r="AF17" s="20"/>
      <c r="AG17" s="301">
        <f t="shared" si="19"/>
        <v>0.05</v>
      </c>
      <c r="AH17" s="302">
        <v>0.81480230132587561</v>
      </c>
      <c r="AJ17" s="42">
        <f t="shared" si="18"/>
        <v>9</v>
      </c>
      <c r="AK17" s="64">
        <f t="shared" si="17"/>
        <v>5.8065482708997126E-2</v>
      </c>
      <c r="AL17" s="41"/>
      <c r="AM17" s="80">
        <f t="shared" si="7"/>
        <v>9</v>
      </c>
      <c r="AN17" s="369">
        <v>46569</v>
      </c>
      <c r="AO17" s="370">
        <v>46660</v>
      </c>
      <c r="AP17" s="372">
        <v>5.8065482708997126E-2</v>
      </c>
    </row>
    <row r="18" spans="1:42" ht="15" customHeight="1" x14ac:dyDescent="0.2">
      <c r="A18" s="21">
        <v>10</v>
      </c>
      <c r="B18" s="15">
        <f t="shared" si="8"/>
        <v>5.4902176547366871E-2</v>
      </c>
      <c r="C18" s="15">
        <f>B18/(1+$C$7)^(A18*0.25)</f>
        <v>5.4902176547366871E-2</v>
      </c>
      <c r="D18" s="40"/>
      <c r="E18" s="21">
        <v>60</v>
      </c>
      <c r="F18" s="15">
        <f t="shared" si="10"/>
        <v>7.4720510956871405E-4</v>
      </c>
      <c r="G18" s="15">
        <f t="shared" si="0"/>
        <v>7.4720510956871405E-4</v>
      </c>
      <c r="H18" s="40"/>
      <c r="I18" s="21">
        <v>110</v>
      </c>
      <c r="J18" s="15">
        <f t="shared" si="11"/>
        <v>1.2280886748306512E-3</v>
      </c>
      <c r="K18" s="15">
        <f t="shared" si="1"/>
        <v>1.2280886748306512E-3</v>
      </c>
      <c r="L18" s="40"/>
      <c r="M18" s="21">
        <v>160</v>
      </c>
      <c r="N18" s="15">
        <f t="shared" si="12"/>
        <v>0</v>
      </c>
      <c r="O18" s="15">
        <f t="shared" si="2"/>
        <v>0</v>
      </c>
      <c r="P18" s="40"/>
      <c r="Q18" s="21">
        <v>210</v>
      </c>
      <c r="R18" s="15">
        <f t="shared" si="13"/>
        <v>0</v>
      </c>
      <c r="S18" s="15">
        <f t="shared" si="3"/>
        <v>0</v>
      </c>
      <c r="T18" s="40"/>
      <c r="U18" s="21">
        <v>260</v>
      </c>
      <c r="V18" s="15">
        <f t="shared" si="14"/>
        <v>0</v>
      </c>
      <c r="W18" s="15">
        <f t="shared" si="4"/>
        <v>0</v>
      </c>
      <c r="X18" s="40"/>
      <c r="Y18" s="21">
        <v>310</v>
      </c>
      <c r="Z18" s="15">
        <f t="shared" si="15"/>
        <v>0</v>
      </c>
      <c r="AA18" s="15">
        <f t="shared" si="5"/>
        <v>0</v>
      </c>
      <c r="AB18" s="40"/>
      <c r="AC18" s="21">
        <v>360</v>
      </c>
      <c r="AD18" s="15">
        <f t="shared" si="16"/>
        <v>0</v>
      </c>
      <c r="AE18" s="15">
        <f t="shared" si="6"/>
        <v>0</v>
      </c>
      <c r="AF18" s="20"/>
      <c r="AG18" s="301">
        <f t="shared" si="19"/>
        <v>0.06</v>
      </c>
      <c r="AH18" s="302">
        <v>0.78832664614256931</v>
      </c>
      <c r="AJ18" s="42">
        <f t="shared" si="18"/>
        <v>10</v>
      </c>
      <c r="AK18" s="64">
        <f t="shared" si="17"/>
        <v>5.4902176547366871E-2</v>
      </c>
      <c r="AL18" s="41"/>
      <c r="AM18" s="80">
        <f t="shared" si="7"/>
        <v>10</v>
      </c>
      <c r="AN18" s="369">
        <v>46661</v>
      </c>
      <c r="AO18" s="370">
        <v>46752</v>
      </c>
      <c r="AP18" s="372">
        <v>5.4902176547366871E-2</v>
      </c>
    </row>
    <row r="19" spans="1:42" ht="15" customHeight="1" x14ac:dyDescent="0.2">
      <c r="A19" s="10">
        <v>11</v>
      </c>
      <c r="B19" s="15">
        <f t="shared" si="8"/>
        <v>5.0189696049921378E-2</v>
      </c>
      <c r="C19" s="15">
        <f t="shared" si="9"/>
        <v>5.0189696049921378E-2</v>
      </c>
      <c r="D19" s="40"/>
      <c r="E19" s="10">
        <v>61</v>
      </c>
      <c r="F19" s="15">
        <f t="shared" si="10"/>
        <v>6.9799351574315483E-4</v>
      </c>
      <c r="G19" s="15">
        <f t="shared" si="0"/>
        <v>6.9799351574315483E-4</v>
      </c>
      <c r="H19" s="40"/>
      <c r="I19" s="10">
        <v>111</v>
      </c>
      <c r="J19" s="15">
        <f t="shared" si="11"/>
        <v>1.2215213557139097E-3</v>
      </c>
      <c r="K19" s="15">
        <f t="shared" si="1"/>
        <v>1.2215213557139097E-3</v>
      </c>
      <c r="L19" s="40"/>
      <c r="M19" s="10">
        <v>161</v>
      </c>
      <c r="N19" s="15">
        <f t="shared" si="12"/>
        <v>0</v>
      </c>
      <c r="O19" s="15">
        <f t="shared" si="2"/>
        <v>0</v>
      </c>
      <c r="P19" s="40"/>
      <c r="Q19" s="10">
        <v>211</v>
      </c>
      <c r="R19" s="15">
        <f t="shared" si="13"/>
        <v>0</v>
      </c>
      <c r="S19" s="15">
        <f t="shared" si="3"/>
        <v>0</v>
      </c>
      <c r="T19" s="40"/>
      <c r="U19" s="10">
        <v>261</v>
      </c>
      <c r="V19" s="15">
        <f t="shared" si="14"/>
        <v>0</v>
      </c>
      <c r="W19" s="15">
        <f t="shared" si="4"/>
        <v>0</v>
      </c>
      <c r="X19" s="40"/>
      <c r="Y19" s="10">
        <v>311</v>
      </c>
      <c r="Z19" s="15">
        <f t="shared" si="15"/>
        <v>0</v>
      </c>
      <c r="AA19" s="15">
        <f t="shared" si="5"/>
        <v>0</v>
      </c>
      <c r="AB19" s="40"/>
      <c r="AC19" s="10">
        <v>361</v>
      </c>
      <c r="AD19" s="15">
        <f t="shared" si="16"/>
        <v>0</v>
      </c>
      <c r="AE19" s="15">
        <f t="shared" si="6"/>
        <v>0</v>
      </c>
      <c r="AF19" s="20"/>
      <c r="AG19" s="301">
        <f t="shared" si="19"/>
        <v>7.0000000000000007E-2</v>
      </c>
      <c r="AH19" s="302">
        <v>0.76397743558856723</v>
      </c>
      <c r="AJ19" s="42">
        <f t="shared" si="18"/>
        <v>11</v>
      </c>
      <c r="AK19" s="64">
        <f t="shared" si="17"/>
        <v>5.0189696049921378E-2</v>
      </c>
      <c r="AL19" s="41"/>
      <c r="AM19" s="80">
        <f t="shared" si="7"/>
        <v>11</v>
      </c>
      <c r="AN19" s="369">
        <v>46753</v>
      </c>
      <c r="AO19" s="370">
        <v>46843</v>
      </c>
      <c r="AP19" s="372">
        <v>5.0189696049921378E-2</v>
      </c>
    </row>
    <row r="20" spans="1:42" ht="15" customHeight="1" x14ac:dyDescent="0.2">
      <c r="A20" s="21">
        <v>12</v>
      </c>
      <c r="B20" s="15">
        <f t="shared" si="8"/>
        <v>4.5960375663971043E-2</v>
      </c>
      <c r="C20" s="15">
        <f t="shared" si="9"/>
        <v>4.5960375663971043E-2</v>
      </c>
      <c r="D20" s="40"/>
      <c r="E20" s="21">
        <v>62</v>
      </c>
      <c r="F20" s="15">
        <f t="shared" si="10"/>
        <v>5.9972358484955619E-4</v>
      </c>
      <c r="G20" s="15">
        <f t="shared" si="0"/>
        <v>5.9972358484955619E-4</v>
      </c>
      <c r="H20" s="40"/>
      <c r="I20" s="21">
        <v>112</v>
      </c>
      <c r="J20" s="15">
        <f t="shared" si="11"/>
        <v>1.2149540365971685E-3</v>
      </c>
      <c r="K20" s="15">
        <f t="shared" si="1"/>
        <v>1.2149540365971685E-3</v>
      </c>
      <c r="L20" s="40"/>
      <c r="M20" s="21">
        <v>162</v>
      </c>
      <c r="N20" s="15">
        <f t="shared" si="12"/>
        <v>0</v>
      </c>
      <c r="O20" s="15">
        <f t="shared" si="2"/>
        <v>0</v>
      </c>
      <c r="P20" s="40"/>
      <c r="Q20" s="21">
        <v>212</v>
      </c>
      <c r="R20" s="15">
        <f t="shared" si="13"/>
        <v>0</v>
      </c>
      <c r="S20" s="15">
        <f t="shared" si="3"/>
        <v>0</v>
      </c>
      <c r="T20" s="40"/>
      <c r="U20" s="21">
        <v>262</v>
      </c>
      <c r="V20" s="15">
        <f t="shared" si="14"/>
        <v>0</v>
      </c>
      <c r="W20" s="15">
        <f t="shared" si="4"/>
        <v>0</v>
      </c>
      <c r="X20" s="40"/>
      <c r="Y20" s="21">
        <v>312</v>
      </c>
      <c r="Z20" s="15">
        <f t="shared" si="15"/>
        <v>0</v>
      </c>
      <c r="AA20" s="15">
        <f t="shared" si="5"/>
        <v>0</v>
      </c>
      <c r="AB20" s="40"/>
      <c r="AC20" s="21">
        <v>362</v>
      </c>
      <c r="AD20" s="15">
        <f t="shared" si="16"/>
        <v>0</v>
      </c>
      <c r="AE20" s="15">
        <f t="shared" si="6"/>
        <v>0</v>
      </c>
      <c r="AF20" s="20"/>
      <c r="AG20" s="301">
        <f t="shared" si="19"/>
        <v>0.08</v>
      </c>
      <c r="AH20" s="302" t="s">
        <v>222</v>
      </c>
      <c r="AJ20" s="42">
        <f t="shared" si="18"/>
        <v>12</v>
      </c>
      <c r="AK20" s="64">
        <f t="shared" si="17"/>
        <v>4.5960375663971043E-2</v>
      </c>
      <c r="AL20" s="41"/>
      <c r="AM20" s="80">
        <f t="shared" si="7"/>
        <v>12</v>
      </c>
      <c r="AN20" s="369">
        <v>46844</v>
      </c>
      <c r="AO20" s="370">
        <v>46934</v>
      </c>
      <c r="AP20" s="372">
        <v>4.5960375663971043E-2</v>
      </c>
    </row>
    <row r="21" spans="1:42" ht="15" customHeight="1" x14ac:dyDescent="0.2">
      <c r="A21" s="10">
        <v>13</v>
      </c>
      <c r="B21" s="15">
        <f t="shared" si="8"/>
        <v>4.2681626386620881E-2</v>
      </c>
      <c r="C21" s="15">
        <f t="shared" si="9"/>
        <v>4.2681626386620881E-2</v>
      </c>
      <c r="D21" s="40"/>
      <c r="E21" s="10">
        <v>63</v>
      </c>
      <c r="F21" s="15">
        <f t="shared" si="10"/>
        <v>4.6680050651691686E-4</v>
      </c>
      <c r="G21" s="15">
        <f t="shared" si="0"/>
        <v>4.6680050651691686E-4</v>
      </c>
      <c r="H21" s="40"/>
      <c r="I21" s="10">
        <v>113</v>
      </c>
      <c r="J21" s="15">
        <f t="shared" si="11"/>
        <v>1.2215213557139099E-3</v>
      </c>
      <c r="K21" s="15">
        <f t="shared" si="1"/>
        <v>1.2215213557139099E-3</v>
      </c>
      <c r="L21" s="40"/>
      <c r="M21" s="10">
        <v>163</v>
      </c>
      <c r="N21" s="15">
        <f t="shared" si="12"/>
        <v>0</v>
      </c>
      <c r="O21" s="15">
        <f t="shared" si="2"/>
        <v>0</v>
      </c>
      <c r="P21" s="40"/>
      <c r="Q21" s="10">
        <v>213</v>
      </c>
      <c r="R21" s="15">
        <f t="shared" si="13"/>
        <v>0</v>
      </c>
      <c r="S21" s="15">
        <f t="shared" si="3"/>
        <v>0</v>
      </c>
      <c r="T21" s="40"/>
      <c r="U21" s="10">
        <v>263</v>
      </c>
      <c r="V21" s="15">
        <f t="shared" si="14"/>
        <v>0</v>
      </c>
      <c r="W21" s="15">
        <f t="shared" si="4"/>
        <v>0</v>
      </c>
      <c r="X21" s="40"/>
      <c r="Y21" s="10">
        <v>313</v>
      </c>
      <c r="Z21" s="15">
        <f t="shared" si="15"/>
        <v>0</v>
      </c>
      <c r="AA21" s="15">
        <f t="shared" si="5"/>
        <v>0</v>
      </c>
      <c r="AB21" s="40"/>
      <c r="AC21" s="10">
        <v>363</v>
      </c>
      <c r="AD21" s="15">
        <f t="shared" si="16"/>
        <v>0</v>
      </c>
      <c r="AE21" s="15">
        <f t="shared" si="6"/>
        <v>0</v>
      </c>
      <c r="AF21" s="20"/>
      <c r="AG21" s="301">
        <f t="shared" si="19"/>
        <v>0.09</v>
      </c>
      <c r="AH21" s="302" t="s">
        <v>222</v>
      </c>
      <c r="AI21" s="17"/>
      <c r="AJ21" s="42">
        <f t="shared" si="18"/>
        <v>13</v>
      </c>
      <c r="AK21" s="64">
        <f t="shared" si="17"/>
        <v>4.2681626386620881E-2</v>
      </c>
      <c r="AL21" s="41"/>
      <c r="AM21" s="80">
        <f t="shared" si="7"/>
        <v>13</v>
      </c>
      <c r="AN21" s="369">
        <v>46935</v>
      </c>
      <c r="AO21" s="370">
        <v>47026</v>
      </c>
      <c r="AP21" s="372">
        <v>4.2681626386620881E-2</v>
      </c>
    </row>
    <row r="22" spans="1:42" ht="15" customHeight="1" x14ac:dyDescent="0.2">
      <c r="A22" s="21">
        <v>14</v>
      </c>
      <c r="B22" s="15">
        <f t="shared" si="8"/>
        <v>4.0241505079704004E-2</v>
      </c>
      <c r="C22" s="15">
        <f t="shared" si="9"/>
        <v>4.0241505079704004E-2</v>
      </c>
      <c r="D22" s="40"/>
      <c r="E22" s="21">
        <v>64</v>
      </c>
      <c r="F22" s="15">
        <f t="shared" si="10"/>
        <v>3.4806054981390271E-4</v>
      </c>
      <c r="G22" s="15">
        <f t="shared" si="0"/>
        <v>3.4806054981390271E-4</v>
      </c>
      <c r="H22" s="40"/>
      <c r="I22" s="21">
        <v>114</v>
      </c>
      <c r="J22" s="15">
        <f t="shared" si="11"/>
        <v>1.2280886748306512E-3</v>
      </c>
      <c r="K22" s="15">
        <f t="shared" si="1"/>
        <v>1.2280886748306512E-3</v>
      </c>
      <c r="L22" s="40"/>
      <c r="M22" s="21">
        <v>164</v>
      </c>
      <c r="N22" s="15">
        <f t="shared" si="12"/>
        <v>0</v>
      </c>
      <c r="O22" s="15">
        <f t="shared" si="2"/>
        <v>0</v>
      </c>
      <c r="P22" s="40"/>
      <c r="Q22" s="21">
        <v>214</v>
      </c>
      <c r="R22" s="15">
        <f t="shared" si="13"/>
        <v>0</v>
      </c>
      <c r="S22" s="15">
        <f t="shared" si="3"/>
        <v>0</v>
      </c>
      <c r="T22" s="40"/>
      <c r="U22" s="21">
        <v>264</v>
      </c>
      <c r="V22" s="15">
        <f t="shared" si="14"/>
        <v>0</v>
      </c>
      <c r="W22" s="15">
        <f t="shared" si="4"/>
        <v>0</v>
      </c>
      <c r="X22" s="40"/>
      <c r="Y22" s="21">
        <v>314</v>
      </c>
      <c r="Z22" s="15">
        <f t="shared" si="15"/>
        <v>0</v>
      </c>
      <c r="AA22" s="15">
        <f t="shared" si="5"/>
        <v>0</v>
      </c>
      <c r="AB22" s="40"/>
      <c r="AC22" s="21">
        <v>364</v>
      </c>
      <c r="AD22" s="15">
        <f t="shared" si="16"/>
        <v>0</v>
      </c>
      <c r="AE22" s="15">
        <f t="shared" si="6"/>
        <v>0</v>
      </c>
      <c r="AF22" s="20"/>
      <c r="AG22" s="301">
        <f t="shared" si="19"/>
        <v>0.1</v>
      </c>
      <c r="AH22" s="302" t="s">
        <v>222</v>
      </c>
      <c r="AI22" s="17"/>
      <c r="AJ22" s="42">
        <f t="shared" si="18"/>
        <v>14</v>
      </c>
      <c r="AK22" s="64">
        <f t="shared" si="17"/>
        <v>4.0241505079704004E-2</v>
      </c>
      <c r="AL22" s="41"/>
      <c r="AM22" s="80">
        <f t="shared" si="7"/>
        <v>14</v>
      </c>
      <c r="AN22" s="369">
        <v>47027</v>
      </c>
      <c r="AO22" s="370">
        <v>47118</v>
      </c>
      <c r="AP22" s="372">
        <v>4.0241505079704004E-2</v>
      </c>
    </row>
    <row r="23" spans="1:42" ht="15" customHeight="1" x14ac:dyDescent="0.2">
      <c r="A23" s="10">
        <v>15</v>
      </c>
      <c r="B23" s="15">
        <f t="shared" si="8"/>
        <v>3.6632072662820238E-2</v>
      </c>
      <c r="C23" s="15">
        <f t="shared" si="9"/>
        <v>3.6632072662820238E-2</v>
      </c>
      <c r="D23" s="40"/>
      <c r="E23" s="10">
        <v>65</v>
      </c>
      <c r="F23" s="15">
        <f t="shared" si="10"/>
        <v>3.0564820222715342E-4</v>
      </c>
      <c r="G23" s="15">
        <f t="shared" si="0"/>
        <v>3.0564820222715342E-4</v>
      </c>
      <c r="H23" s="40"/>
      <c r="I23" s="10">
        <v>115</v>
      </c>
      <c r="J23" s="15">
        <f t="shared" si="11"/>
        <v>1.2215213557139097E-3</v>
      </c>
      <c r="K23" s="15">
        <f t="shared" si="1"/>
        <v>1.2215213557139097E-3</v>
      </c>
      <c r="L23" s="40"/>
      <c r="M23" s="10">
        <v>165</v>
      </c>
      <c r="N23" s="15">
        <f t="shared" si="12"/>
        <v>0</v>
      </c>
      <c r="O23" s="15">
        <f t="shared" si="2"/>
        <v>0</v>
      </c>
      <c r="P23" s="40"/>
      <c r="Q23" s="10">
        <v>215</v>
      </c>
      <c r="R23" s="15">
        <f t="shared" si="13"/>
        <v>0</v>
      </c>
      <c r="S23" s="15">
        <f t="shared" si="3"/>
        <v>0</v>
      </c>
      <c r="T23" s="40"/>
      <c r="U23" s="10">
        <v>265</v>
      </c>
      <c r="V23" s="15">
        <f t="shared" si="14"/>
        <v>0</v>
      </c>
      <c r="W23" s="15">
        <f t="shared" si="4"/>
        <v>0</v>
      </c>
      <c r="X23" s="40"/>
      <c r="Y23" s="10">
        <v>315</v>
      </c>
      <c r="Z23" s="15">
        <f t="shared" si="15"/>
        <v>0</v>
      </c>
      <c r="AA23" s="15">
        <f t="shared" si="5"/>
        <v>0</v>
      </c>
      <c r="AB23" s="40"/>
      <c r="AC23" s="10">
        <v>365</v>
      </c>
      <c r="AD23" s="15">
        <f t="shared" si="16"/>
        <v>0</v>
      </c>
      <c r="AE23" s="15">
        <f t="shared" si="6"/>
        <v>0</v>
      </c>
      <c r="AF23" s="20"/>
      <c r="AG23" s="301">
        <f t="shared" si="19"/>
        <v>0.11</v>
      </c>
      <c r="AH23" s="302" t="s">
        <v>222</v>
      </c>
      <c r="AI23" s="17"/>
      <c r="AJ23" s="42">
        <f t="shared" si="18"/>
        <v>15</v>
      </c>
      <c r="AK23" s="64">
        <f t="shared" si="17"/>
        <v>3.6632072662820238E-2</v>
      </c>
      <c r="AL23" s="41"/>
      <c r="AM23" s="80">
        <f t="shared" si="7"/>
        <v>15</v>
      </c>
      <c r="AN23" s="369">
        <v>47119</v>
      </c>
      <c r="AO23" s="370">
        <v>47208</v>
      </c>
      <c r="AP23" s="372">
        <v>3.6632072662820238E-2</v>
      </c>
    </row>
    <row r="24" spans="1:42" ht="15" customHeight="1" x14ac:dyDescent="0.2">
      <c r="A24" s="21">
        <v>16</v>
      </c>
      <c r="B24" s="15">
        <f t="shared" si="8"/>
        <v>3.339376546532255E-2</v>
      </c>
      <c r="C24" s="15">
        <f t="shared" si="9"/>
        <v>3.339376546532255E-2</v>
      </c>
      <c r="D24" s="40"/>
      <c r="E24" s="21">
        <v>66</v>
      </c>
      <c r="F24" s="15">
        <f t="shared" si="10"/>
        <v>3.2982314197849171E-4</v>
      </c>
      <c r="G24" s="15">
        <f t="shared" si="0"/>
        <v>3.2982314197849171E-4</v>
      </c>
      <c r="H24" s="40"/>
      <c r="I24" s="21">
        <v>116</v>
      </c>
      <c r="J24" s="15">
        <f t="shared" si="11"/>
        <v>1.2149540365971685E-3</v>
      </c>
      <c r="K24" s="15">
        <f t="shared" si="1"/>
        <v>1.2149540365971685E-3</v>
      </c>
      <c r="L24" s="40"/>
      <c r="M24" s="21">
        <v>166</v>
      </c>
      <c r="N24" s="15">
        <f t="shared" si="12"/>
        <v>0</v>
      </c>
      <c r="O24" s="15">
        <f t="shared" si="2"/>
        <v>0</v>
      </c>
      <c r="P24" s="40"/>
      <c r="Q24" s="21">
        <v>216</v>
      </c>
      <c r="R24" s="15">
        <f t="shared" si="13"/>
        <v>0</v>
      </c>
      <c r="S24" s="15">
        <f t="shared" si="3"/>
        <v>0</v>
      </c>
      <c r="T24" s="40"/>
      <c r="U24" s="21">
        <v>266</v>
      </c>
      <c r="V24" s="15">
        <f t="shared" si="14"/>
        <v>0</v>
      </c>
      <c r="W24" s="15">
        <f t="shared" si="4"/>
        <v>0</v>
      </c>
      <c r="X24" s="40"/>
      <c r="Y24" s="21">
        <v>316</v>
      </c>
      <c r="Z24" s="15">
        <f t="shared" si="15"/>
        <v>0</v>
      </c>
      <c r="AA24" s="15">
        <f t="shared" si="5"/>
        <v>0</v>
      </c>
      <c r="AB24" s="40"/>
      <c r="AC24" s="21">
        <v>366</v>
      </c>
      <c r="AD24" s="15">
        <f t="shared" si="16"/>
        <v>0</v>
      </c>
      <c r="AE24" s="15">
        <f t="shared" si="6"/>
        <v>0</v>
      </c>
      <c r="AF24" s="20"/>
      <c r="AG24" s="301">
        <f t="shared" si="19"/>
        <v>0.12</v>
      </c>
      <c r="AH24" s="302" t="s">
        <v>222</v>
      </c>
      <c r="AI24" s="17"/>
      <c r="AJ24" s="42">
        <f t="shared" si="18"/>
        <v>16</v>
      </c>
      <c r="AK24" s="64">
        <f t="shared" si="17"/>
        <v>3.339376546532255E-2</v>
      </c>
      <c r="AL24" s="41"/>
      <c r="AM24" s="80">
        <f t="shared" si="7"/>
        <v>16</v>
      </c>
      <c r="AN24" s="369">
        <v>47209</v>
      </c>
      <c r="AO24" s="370">
        <v>47299</v>
      </c>
      <c r="AP24" s="372">
        <v>3.339376546532255E-2</v>
      </c>
    </row>
    <row r="25" spans="1:42" ht="15" customHeight="1" x14ac:dyDescent="0.2">
      <c r="A25" s="10">
        <v>17</v>
      </c>
      <c r="B25" s="15">
        <f t="shared" si="8"/>
        <v>3.0255913468351464E-2</v>
      </c>
      <c r="C25" s="15">
        <f t="shared" si="9"/>
        <v>3.0255913468351464E-2</v>
      </c>
      <c r="D25" s="40"/>
      <c r="E25" s="10">
        <v>67</v>
      </c>
      <c r="F25" s="15">
        <f t="shared" si="10"/>
        <v>3.5670713780926454E-4</v>
      </c>
      <c r="G25" s="15">
        <f t="shared" si="0"/>
        <v>3.5670713780926454E-4</v>
      </c>
      <c r="H25" s="40"/>
      <c r="I25" s="10">
        <v>117</v>
      </c>
      <c r="J25" s="15">
        <f t="shared" si="11"/>
        <v>1.2215213557139099E-3</v>
      </c>
      <c r="K25" s="15">
        <f t="shared" si="1"/>
        <v>1.2215213557139099E-3</v>
      </c>
      <c r="L25" s="40"/>
      <c r="M25" s="10">
        <v>167</v>
      </c>
      <c r="N25" s="15">
        <f t="shared" si="12"/>
        <v>0</v>
      </c>
      <c r="O25" s="15">
        <f t="shared" si="2"/>
        <v>0</v>
      </c>
      <c r="P25" s="40"/>
      <c r="Q25" s="10">
        <v>217</v>
      </c>
      <c r="R25" s="15">
        <f t="shared" si="13"/>
        <v>0</v>
      </c>
      <c r="S25" s="15">
        <f t="shared" si="3"/>
        <v>0</v>
      </c>
      <c r="T25" s="40"/>
      <c r="U25" s="10">
        <v>267</v>
      </c>
      <c r="V25" s="15">
        <f t="shared" si="14"/>
        <v>0</v>
      </c>
      <c r="W25" s="15">
        <f t="shared" si="4"/>
        <v>0</v>
      </c>
      <c r="X25" s="40"/>
      <c r="Y25" s="10">
        <v>317</v>
      </c>
      <c r="Z25" s="15">
        <f t="shared" si="15"/>
        <v>0</v>
      </c>
      <c r="AA25" s="15">
        <f t="shared" si="5"/>
        <v>0</v>
      </c>
      <c r="AB25" s="40"/>
      <c r="AC25" s="10">
        <v>367</v>
      </c>
      <c r="AD25" s="15">
        <f t="shared" si="16"/>
        <v>0</v>
      </c>
      <c r="AE25" s="15">
        <f t="shared" si="6"/>
        <v>0</v>
      </c>
      <c r="AF25" s="20"/>
      <c r="AG25" s="16"/>
      <c r="AH25" s="17"/>
      <c r="AI25" s="17"/>
      <c r="AJ25" s="42">
        <f t="shared" si="18"/>
        <v>17</v>
      </c>
      <c r="AK25" s="64">
        <f t="shared" si="17"/>
        <v>3.0255913468351464E-2</v>
      </c>
      <c r="AL25" s="41"/>
      <c r="AM25" s="80">
        <f t="shared" si="7"/>
        <v>17</v>
      </c>
      <c r="AN25" s="369">
        <v>47300</v>
      </c>
      <c r="AO25" s="370">
        <v>47391</v>
      </c>
      <c r="AP25" s="372">
        <v>3.0255913468351464E-2</v>
      </c>
    </row>
    <row r="26" spans="1:42" ht="15" customHeight="1" x14ac:dyDescent="0.2">
      <c r="A26" s="21">
        <v>18</v>
      </c>
      <c r="B26" s="15">
        <f t="shared" si="8"/>
        <v>2.7330780620156113E-2</v>
      </c>
      <c r="C26" s="15">
        <f t="shared" si="9"/>
        <v>2.7330780620156113E-2</v>
      </c>
      <c r="D26" s="40"/>
      <c r="E26" s="21">
        <v>68</v>
      </c>
      <c r="F26" s="15">
        <f t="shared" si="10"/>
        <v>3.8045879371304751E-4</v>
      </c>
      <c r="G26" s="15">
        <f t="shared" si="0"/>
        <v>3.8045879371304751E-4</v>
      </c>
      <c r="H26" s="40"/>
      <c r="I26" s="21">
        <v>118</v>
      </c>
      <c r="J26" s="15">
        <f t="shared" si="11"/>
        <v>1.2280886748306512E-3</v>
      </c>
      <c r="K26" s="15">
        <f t="shared" si="1"/>
        <v>1.2280886748306512E-3</v>
      </c>
      <c r="L26" s="40"/>
      <c r="M26" s="21">
        <v>168</v>
      </c>
      <c r="N26" s="15">
        <f t="shared" si="12"/>
        <v>0</v>
      </c>
      <c r="O26" s="15">
        <f t="shared" si="2"/>
        <v>0</v>
      </c>
      <c r="P26" s="40"/>
      <c r="Q26" s="21">
        <v>218</v>
      </c>
      <c r="R26" s="15">
        <f t="shared" si="13"/>
        <v>0</v>
      </c>
      <c r="S26" s="15">
        <f t="shared" si="3"/>
        <v>0</v>
      </c>
      <c r="T26" s="40"/>
      <c r="U26" s="21">
        <v>268</v>
      </c>
      <c r="V26" s="15">
        <f t="shared" si="14"/>
        <v>0</v>
      </c>
      <c r="W26" s="15">
        <f t="shared" si="4"/>
        <v>0</v>
      </c>
      <c r="X26" s="40"/>
      <c r="Y26" s="21">
        <v>318</v>
      </c>
      <c r="Z26" s="15">
        <f t="shared" si="15"/>
        <v>0</v>
      </c>
      <c r="AA26" s="15">
        <f t="shared" si="5"/>
        <v>0</v>
      </c>
      <c r="AB26" s="40"/>
      <c r="AC26" s="21">
        <v>368</v>
      </c>
      <c r="AD26" s="15">
        <f t="shared" si="16"/>
        <v>0</v>
      </c>
      <c r="AE26" s="15">
        <f t="shared" si="6"/>
        <v>0</v>
      </c>
      <c r="AF26" s="20"/>
      <c r="AG26" s="306" t="s">
        <v>51</v>
      </c>
      <c r="AH26" s="307"/>
      <c r="AI26" s="17"/>
      <c r="AJ26" s="42">
        <f t="shared" si="18"/>
        <v>18</v>
      </c>
      <c r="AK26" s="64">
        <f t="shared" si="17"/>
        <v>2.7330780620156113E-2</v>
      </c>
      <c r="AL26" s="41"/>
      <c r="AM26" s="80">
        <f t="shared" si="7"/>
        <v>18</v>
      </c>
      <c r="AN26" s="369">
        <v>47392</v>
      </c>
      <c r="AO26" s="370">
        <v>47483</v>
      </c>
      <c r="AP26" s="372">
        <v>2.7330780620156113E-2</v>
      </c>
    </row>
    <row r="27" spans="1:42" ht="15" customHeight="1" x14ac:dyDescent="0.2">
      <c r="A27" s="10">
        <v>19</v>
      </c>
      <c r="B27" s="15">
        <f t="shared" si="8"/>
        <v>2.3258663205174526E-2</v>
      </c>
      <c r="C27" s="15">
        <f t="shared" si="9"/>
        <v>2.3258663205174526E-2</v>
      </c>
      <c r="D27" s="40"/>
      <c r="E27" s="10">
        <v>69</v>
      </c>
      <c r="F27" s="15">
        <f t="shared" si="10"/>
        <v>4.0145707944189054E-4</v>
      </c>
      <c r="G27" s="15">
        <f t="shared" si="0"/>
        <v>4.0145707944189054E-4</v>
      </c>
      <c r="H27" s="40"/>
      <c r="I27" s="10">
        <v>119</v>
      </c>
      <c r="J27" s="15">
        <f t="shared" si="11"/>
        <v>1.2215213557139097E-3</v>
      </c>
      <c r="K27" s="15">
        <f t="shared" si="1"/>
        <v>1.2215213557139097E-3</v>
      </c>
      <c r="L27" s="40"/>
      <c r="M27" s="10">
        <v>169</v>
      </c>
      <c r="N27" s="15">
        <f t="shared" si="12"/>
        <v>0</v>
      </c>
      <c r="O27" s="15">
        <f t="shared" si="2"/>
        <v>0</v>
      </c>
      <c r="P27" s="40"/>
      <c r="Q27" s="10">
        <v>219</v>
      </c>
      <c r="R27" s="15">
        <f t="shared" si="13"/>
        <v>0</v>
      </c>
      <c r="S27" s="15">
        <f t="shared" si="3"/>
        <v>0</v>
      </c>
      <c r="T27" s="40"/>
      <c r="U27" s="10">
        <v>269</v>
      </c>
      <c r="V27" s="15">
        <f t="shared" si="14"/>
        <v>0</v>
      </c>
      <c r="W27" s="15">
        <f t="shared" si="4"/>
        <v>0</v>
      </c>
      <c r="X27" s="40"/>
      <c r="Y27" s="10">
        <v>319</v>
      </c>
      <c r="Z27" s="15">
        <f t="shared" si="15"/>
        <v>0</v>
      </c>
      <c r="AA27" s="15">
        <f t="shared" si="5"/>
        <v>0</v>
      </c>
      <c r="AB27" s="40"/>
      <c r="AC27" s="10">
        <v>369</v>
      </c>
      <c r="AD27" s="15">
        <f t="shared" si="16"/>
        <v>0</v>
      </c>
      <c r="AE27" s="15">
        <f t="shared" si="6"/>
        <v>0</v>
      </c>
      <c r="AF27" s="20"/>
      <c r="AG27" s="308"/>
      <c r="AH27" s="309"/>
      <c r="AI27" s="17"/>
      <c r="AJ27" s="42">
        <f t="shared" si="18"/>
        <v>19</v>
      </c>
      <c r="AK27" s="64">
        <f t="shared" si="17"/>
        <v>2.3258663205174526E-2</v>
      </c>
      <c r="AL27" s="41"/>
      <c r="AM27" s="80">
        <f t="shared" si="7"/>
        <v>19</v>
      </c>
      <c r="AN27" s="369">
        <v>47484</v>
      </c>
      <c r="AO27" s="370">
        <v>47573</v>
      </c>
      <c r="AP27" s="372">
        <v>2.3258663205174526E-2</v>
      </c>
    </row>
    <row r="28" spans="1:42" ht="15" customHeight="1" x14ac:dyDescent="0.2">
      <c r="A28" s="21">
        <v>20</v>
      </c>
      <c r="B28" s="15">
        <f t="shared" si="8"/>
        <v>1.9615809857855333E-2</v>
      </c>
      <c r="C28" s="15">
        <f t="shared" si="9"/>
        <v>1.9615809857855333E-2</v>
      </c>
      <c r="D28" s="40"/>
      <c r="E28" s="21">
        <v>70</v>
      </c>
      <c r="F28" s="15">
        <f t="shared" si="10"/>
        <v>4.1423804196830246E-4</v>
      </c>
      <c r="G28" s="15">
        <f t="shared" si="0"/>
        <v>4.1423804196830246E-4</v>
      </c>
      <c r="H28" s="40"/>
      <c r="I28" s="21">
        <v>120</v>
      </c>
      <c r="J28" s="15">
        <f t="shared" si="11"/>
        <v>1.2149540365971685E-3</v>
      </c>
      <c r="K28" s="15">
        <f t="shared" si="1"/>
        <v>1.2149540365971685E-3</v>
      </c>
      <c r="L28" s="40"/>
      <c r="M28" s="21">
        <v>170</v>
      </c>
      <c r="N28" s="15">
        <f t="shared" si="12"/>
        <v>0</v>
      </c>
      <c r="O28" s="15">
        <f t="shared" si="2"/>
        <v>0</v>
      </c>
      <c r="P28" s="40"/>
      <c r="Q28" s="21">
        <v>220</v>
      </c>
      <c r="R28" s="15">
        <f t="shared" si="13"/>
        <v>0</v>
      </c>
      <c r="S28" s="15">
        <f t="shared" si="3"/>
        <v>0</v>
      </c>
      <c r="T28" s="40"/>
      <c r="U28" s="21">
        <v>270</v>
      </c>
      <c r="V28" s="15">
        <f t="shared" si="14"/>
        <v>0</v>
      </c>
      <c r="W28" s="15">
        <f t="shared" si="4"/>
        <v>0</v>
      </c>
      <c r="X28" s="40"/>
      <c r="Y28" s="21">
        <v>320</v>
      </c>
      <c r="Z28" s="15">
        <f t="shared" si="15"/>
        <v>0</v>
      </c>
      <c r="AA28" s="15">
        <f t="shared" si="5"/>
        <v>0</v>
      </c>
      <c r="AB28" s="40"/>
      <c r="AC28" s="21">
        <v>370</v>
      </c>
      <c r="AD28" s="15">
        <f t="shared" si="16"/>
        <v>0</v>
      </c>
      <c r="AE28" s="15">
        <f t="shared" si="6"/>
        <v>0</v>
      </c>
      <c r="AF28" s="20"/>
      <c r="AG28" s="24" t="s">
        <v>46</v>
      </c>
      <c r="AH28" s="43">
        <f>AE59</f>
        <v>1.0000000000000002</v>
      </c>
      <c r="AI28" s="17"/>
      <c r="AJ28" s="42">
        <f t="shared" si="18"/>
        <v>20</v>
      </c>
      <c r="AK28" s="64">
        <f t="shared" si="17"/>
        <v>1.9615809857855333E-2</v>
      </c>
      <c r="AL28" s="41"/>
      <c r="AM28" s="80">
        <f t="shared" si="7"/>
        <v>20</v>
      </c>
      <c r="AN28" s="369">
        <v>47574</v>
      </c>
      <c r="AO28" s="370">
        <v>47664</v>
      </c>
      <c r="AP28" s="372">
        <v>1.9615809857855333E-2</v>
      </c>
    </row>
    <row r="29" spans="1:42" ht="15" customHeight="1" x14ac:dyDescent="0.2">
      <c r="A29" s="10">
        <v>21</v>
      </c>
      <c r="B29" s="15">
        <f t="shared" si="8"/>
        <v>1.6843344403173099E-2</v>
      </c>
      <c r="C29" s="15">
        <f t="shared" si="9"/>
        <v>1.6843344403173099E-2</v>
      </c>
      <c r="D29" s="40"/>
      <c r="E29" s="10">
        <v>71</v>
      </c>
      <c r="F29" s="15">
        <f t="shared" si="10"/>
        <v>4.2552889480165681E-4</v>
      </c>
      <c r="G29" s="15">
        <f t="shared" si="0"/>
        <v>4.2552889480165681E-4</v>
      </c>
      <c r="H29" s="40"/>
      <c r="I29" s="10">
        <v>121</v>
      </c>
      <c r="J29" s="15">
        <f t="shared" si="11"/>
        <v>1.2215213557139099E-3</v>
      </c>
      <c r="K29" s="15">
        <f t="shared" si="1"/>
        <v>1.2215213557139099E-3</v>
      </c>
      <c r="L29" s="40"/>
      <c r="M29" s="10">
        <v>171</v>
      </c>
      <c r="N29" s="15">
        <f t="shared" si="12"/>
        <v>0</v>
      </c>
      <c r="O29" s="15">
        <f t="shared" si="2"/>
        <v>0</v>
      </c>
      <c r="P29" s="40"/>
      <c r="Q29" s="10">
        <v>221</v>
      </c>
      <c r="R29" s="15">
        <f t="shared" si="13"/>
        <v>0</v>
      </c>
      <c r="S29" s="15">
        <f t="shared" si="3"/>
        <v>0</v>
      </c>
      <c r="T29" s="40"/>
      <c r="U29" s="10">
        <v>271</v>
      </c>
      <c r="V29" s="15">
        <f t="shared" si="14"/>
        <v>0</v>
      </c>
      <c r="W29" s="15">
        <f t="shared" si="4"/>
        <v>0</v>
      </c>
      <c r="X29" s="40"/>
      <c r="Y29" s="10">
        <v>321</v>
      </c>
      <c r="Z29" s="15">
        <f t="shared" si="15"/>
        <v>0</v>
      </c>
      <c r="AA29" s="15">
        <f t="shared" si="5"/>
        <v>0</v>
      </c>
      <c r="AB29" s="40"/>
      <c r="AC29" s="10">
        <v>371</v>
      </c>
      <c r="AD29" s="15">
        <f t="shared" si="16"/>
        <v>0</v>
      </c>
      <c r="AE29" s="15">
        <f t="shared" si="6"/>
        <v>0</v>
      </c>
      <c r="AF29" s="20"/>
      <c r="AG29" s="25">
        <v>0</v>
      </c>
      <c r="AH29" s="26">
        <f t="dataTable" ref="AH29:AH41" dt2D="0" dtr="0" r1="C7" ca="1"/>
        <v>1.0000000000000002</v>
      </c>
      <c r="AI29" s="17"/>
      <c r="AJ29" s="42">
        <f t="shared" si="18"/>
        <v>21</v>
      </c>
      <c r="AK29" s="64">
        <f t="shared" si="17"/>
        <v>1.6843344403173099E-2</v>
      </c>
      <c r="AL29" s="41"/>
      <c r="AM29" s="80">
        <f t="shared" si="7"/>
        <v>21</v>
      </c>
      <c r="AN29" s="369">
        <v>47665</v>
      </c>
      <c r="AO29" s="370">
        <v>47756</v>
      </c>
      <c r="AP29" s="372">
        <v>1.6843344403173099E-2</v>
      </c>
    </row>
    <row r="30" spans="1:42" ht="15" customHeight="1" x14ac:dyDescent="0.2">
      <c r="A30" s="21">
        <v>22</v>
      </c>
      <c r="B30" s="15">
        <f t="shared" si="8"/>
        <v>1.4996762713814362E-2</v>
      </c>
      <c r="C30" s="15">
        <f t="shared" si="9"/>
        <v>1.4996762713814362E-2</v>
      </c>
      <c r="D30" s="40"/>
      <c r="E30" s="21">
        <v>72</v>
      </c>
      <c r="F30" s="15">
        <f t="shared" si="10"/>
        <v>4.3534300105761215E-4</v>
      </c>
      <c r="G30" s="15">
        <f t="shared" si="0"/>
        <v>4.3534300105761215E-4</v>
      </c>
      <c r="H30" s="40"/>
      <c r="I30" s="21">
        <v>122</v>
      </c>
      <c r="J30" s="15">
        <f t="shared" si="11"/>
        <v>1.2280886748306512E-3</v>
      </c>
      <c r="K30" s="15">
        <f t="shared" si="1"/>
        <v>1.2280886748306512E-3</v>
      </c>
      <c r="L30" s="40"/>
      <c r="M30" s="21">
        <v>172</v>
      </c>
      <c r="N30" s="15">
        <f t="shared" si="12"/>
        <v>0</v>
      </c>
      <c r="O30" s="15">
        <f t="shared" si="2"/>
        <v>0</v>
      </c>
      <c r="P30" s="40"/>
      <c r="Q30" s="21">
        <v>222</v>
      </c>
      <c r="R30" s="15">
        <f t="shared" si="13"/>
        <v>0</v>
      </c>
      <c r="S30" s="15">
        <f t="shared" si="3"/>
        <v>0</v>
      </c>
      <c r="T30" s="40"/>
      <c r="U30" s="21">
        <v>272</v>
      </c>
      <c r="V30" s="15">
        <f t="shared" si="14"/>
        <v>0</v>
      </c>
      <c r="W30" s="15">
        <f t="shared" si="4"/>
        <v>0</v>
      </c>
      <c r="X30" s="40"/>
      <c r="Y30" s="21">
        <v>322</v>
      </c>
      <c r="Z30" s="15">
        <f t="shared" si="15"/>
        <v>0</v>
      </c>
      <c r="AA30" s="15">
        <f t="shared" si="5"/>
        <v>0</v>
      </c>
      <c r="AB30" s="40"/>
      <c r="AC30" s="21">
        <v>372</v>
      </c>
      <c r="AD30" s="15">
        <f t="shared" si="16"/>
        <v>0</v>
      </c>
      <c r="AE30" s="15">
        <f t="shared" si="6"/>
        <v>0</v>
      </c>
      <c r="AF30" s="20"/>
      <c r="AG30" s="25">
        <f t="shared" ref="AG30:AG41" si="20">ROUND(AG29+0.01,2)</f>
        <v>0.01</v>
      </c>
      <c r="AH30" s="26">
        <v>0.95290714847982172</v>
      </c>
      <c r="AI30" s="17"/>
      <c r="AJ30" s="42">
        <f t="shared" si="18"/>
        <v>22</v>
      </c>
      <c r="AK30" s="64">
        <f t="shared" si="17"/>
        <v>1.4996762713814362E-2</v>
      </c>
      <c r="AL30" s="41"/>
      <c r="AM30" s="80">
        <f t="shared" si="7"/>
        <v>22</v>
      </c>
      <c r="AN30" s="369">
        <v>47757</v>
      </c>
      <c r="AO30" s="370">
        <v>47848</v>
      </c>
      <c r="AP30" s="372">
        <v>1.4996762713814362E-2</v>
      </c>
    </row>
    <row r="31" spans="1:42" ht="15" customHeight="1" x14ac:dyDescent="0.2">
      <c r="A31" s="10">
        <v>23</v>
      </c>
      <c r="B31" s="15">
        <f t="shared" si="8"/>
        <v>1.2453604560867545E-2</v>
      </c>
      <c r="C31" s="15">
        <f t="shared" si="9"/>
        <v>1.2453604560867545E-2</v>
      </c>
      <c r="D31" s="40"/>
      <c r="E31" s="10">
        <v>73</v>
      </c>
      <c r="F31" s="15">
        <f t="shared" si="10"/>
        <v>4.1841023013706162E-4</v>
      </c>
      <c r="G31" s="15">
        <f t="shared" si="0"/>
        <v>4.1841023013706162E-4</v>
      </c>
      <c r="H31" s="40"/>
      <c r="I31" s="10">
        <v>123</v>
      </c>
      <c r="J31" s="15">
        <f t="shared" si="11"/>
        <v>1.2215213557139099E-3</v>
      </c>
      <c r="K31" s="15">
        <f t="shared" si="1"/>
        <v>1.2215213557139099E-3</v>
      </c>
      <c r="L31" s="40"/>
      <c r="M31" s="10">
        <v>173</v>
      </c>
      <c r="N31" s="15">
        <f t="shared" si="12"/>
        <v>0</v>
      </c>
      <c r="O31" s="15">
        <f t="shared" si="2"/>
        <v>0</v>
      </c>
      <c r="P31" s="40"/>
      <c r="Q31" s="10">
        <v>223</v>
      </c>
      <c r="R31" s="15">
        <f t="shared" si="13"/>
        <v>0</v>
      </c>
      <c r="S31" s="15">
        <f t="shared" si="3"/>
        <v>0</v>
      </c>
      <c r="T31" s="40"/>
      <c r="U31" s="10">
        <v>273</v>
      </c>
      <c r="V31" s="15">
        <f t="shared" si="14"/>
        <v>0</v>
      </c>
      <c r="W31" s="15">
        <f t="shared" si="4"/>
        <v>0</v>
      </c>
      <c r="X31" s="40"/>
      <c r="Y31" s="10">
        <v>323</v>
      </c>
      <c r="Z31" s="15">
        <f t="shared" si="15"/>
        <v>0</v>
      </c>
      <c r="AA31" s="15">
        <f t="shared" si="5"/>
        <v>0</v>
      </c>
      <c r="AB31" s="40"/>
      <c r="AC31" s="10">
        <v>373</v>
      </c>
      <c r="AD31" s="15">
        <f t="shared" si="16"/>
        <v>0</v>
      </c>
      <c r="AE31" s="15">
        <f t="shared" si="6"/>
        <v>0</v>
      </c>
      <c r="AF31" s="20"/>
      <c r="AG31" s="25">
        <f t="shared" si="20"/>
        <v>0.02</v>
      </c>
      <c r="AH31" s="26">
        <v>0.91201787049813388</v>
      </c>
      <c r="AI31" s="17"/>
      <c r="AJ31" s="42">
        <f t="shared" si="18"/>
        <v>23</v>
      </c>
      <c r="AK31" s="64">
        <f t="shared" si="17"/>
        <v>1.2453604560867545E-2</v>
      </c>
      <c r="AL31" s="41"/>
      <c r="AM31" s="80">
        <f t="shared" si="7"/>
        <v>23</v>
      </c>
      <c r="AN31" s="369">
        <v>47849</v>
      </c>
      <c r="AO31" s="370">
        <v>47938</v>
      </c>
      <c r="AP31" s="372">
        <v>1.2453604560867545E-2</v>
      </c>
    </row>
    <row r="32" spans="1:42" ht="15" customHeight="1" x14ac:dyDescent="0.2">
      <c r="A32" s="354">
        <v>24</v>
      </c>
      <c r="B32" s="355">
        <f t="shared" si="8"/>
        <v>1.0179746134215245E-2</v>
      </c>
      <c r="C32" s="355">
        <f t="shared" si="9"/>
        <v>1.0179746134215245E-2</v>
      </c>
      <c r="D32" s="40"/>
      <c r="E32" s="21">
        <v>74</v>
      </c>
      <c r="F32" s="15">
        <f t="shared" si="10"/>
        <v>3.7761544818917803E-4</v>
      </c>
      <c r="G32" s="15">
        <f t="shared" si="0"/>
        <v>3.7761544818917803E-4</v>
      </c>
      <c r="H32" s="40"/>
      <c r="I32" s="21">
        <v>124</v>
      </c>
      <c r="J32" s="15">
        <f t="shared" si="11"/>
        <v>1.2149540365971685E-3</v>
      </c>
      <c r="K32" s="15">
        <f t="shared" si="1"/>
        <v>1.2149540365971685E-3</v>
      </c>
      <c r="L32" s="40"/>
      <c r="M32" s="21">
        <v>174</v>
      </c>
      <c r="N32" s="15">
        <f t="shared" si="12"/>
        <v>0</v>
      </c>
      <c r="O32" s="15">
        <f t="shared" si="2"/>
        <v>0</v>
      </c>
      <c r="P32" s="40"/>
      <c r="Q32" s="21">
        <v>224</v>
      </c>
      <c r="R32" s="15">
        <f t="shared" si="13"/>
        <v>0</v>
      </c>
      <c r="S32" s="15">
        <f t="shared" si="3"/>
        <v>0</v>
      </c>
      <c r="T32" s="40"/>
      <c r="U32" s="21">
        <v>274</v>
      </c>
      <c r="V32" s="15">
        <f t="shared" si="14"/>
        <v>0</v>
      </c>
      <c r="W32" s="15">
        <f t="shared" si="4"/>
        <v>0</v>
      </c>
      <c r="X32" s="40"/>
      <c r="Y32" s="21">
        <v>324</v>
      </c>
      <c r="Z32" s="15">
        <f t="shared" si="15"/>
        <v>0</v>
      </c>
      <c r="AA32" s="15">
        <f t="shared" si="5"/>
        <v>0</v>
      </c>
      <c r="AB32" s="40"/>
      <c r="AC32" s="21">
        <v>374</v>
      </c>
      <c r="AD32" s="15">
        <f t="shared" si="16"/>
        <v>0</v>
      </c>
      <c r="AE32" s="15">
        <f t="shared" si="6"/>
        <v>0</v>
      </c>
      <c r="AF32" s="20"/>
      <c r="AG32" s="25">
        <f t="shared" si="20"/>
        <v>0.03</v>
      </c>
      <c r="AH32" s="26">
        <v>0.87599257294968658</v>
      </c>
      <c r="AI32" s="17"/>
      <c r="AJ32" s="42">
        <f t="shared" si="18"/>
        <v>24</v>
      </c>
      <c r="AK32" s="64">
        <f t="shared" si="17"/>
        <v>1.0179746134215245E-2</v>
      </c>
      <c r="AL32" s="41"/>
      <c r="AM32" s="80">
        <f t="shared" si="7"/>
        <v>24</v>
      </c>
      <c r="AN32" s="369">
        <v>47939</v>
      </c>
      <c r="AO32" s="370">
        <v>48029</v>
      </c>
      <c r="AP32" s="372">
        <v>1.0179746134215245E-2</v>
      </c>
    </row>
    <row r="33" spans="1:42" ht="15" customHeight="1" x14ac:dyDescent="0.2">
      <c r="A33" s="10">
        <v>25</v>
      </c>
      <c r="B33" s="15">
        <f t="shared" si="8"/>
        <v>8.4758487330703555E-3</v>
      </c>
      <c r="C33" s="15">
        <f t="shared" si="9"/>
        <v>8.4758487330703555E-3</v>
      </c>
      <c r="D33" s="40"/>
      <c r="E33" s="10">
        <v>75</v>
      </c>
      <c r="F33" s="15">
        <f t="shared" si="10"/>
        <v>3.2086769907762089E-4</v>
      </c>
      <c r="G33" s="15">
        <f t="shared" si="0"/>
        <v>3.2086769907762089E-4</v>
      </c>
      <c r="H33" s="40"/>
      <c r="I33" s="10">
        <v>125</v>
      </c>
      <c r="J33" s="15">
        <f t="shared" si="11"/>
        <v>1.2215213557139099E-3</v>
      </c>
      <c r="K33" s="15">
        <f t="shared" si="1"/>
        <v>1.2215213557139099E-3</v>
      </c>
      <c r="L33" s="40"/>
      <c r="M33" s="10">
        <v>175</v>
      </c>
      <c r="N33" s="15">
        <f t="shared" si="12"/>
        <v>0</v>
      </c>
      <c r="O33" s="15">
        <f t="shared" si="2"/>
        <v>0</v>
      </c>
      <c r="P33" s="40"/>
      <c r="Q33" s="10">
        <v>225</v>
      </c>
      <c r="R33" s="15">
        <f t="shared" si="13"/>
        <v>0</v>
      </c>
      <c r="S33" s="15">
        <f t="shared" si="3"/>
        <v>0</v>
      </c>
      <c r="T33" s="40"/>
      <c r="U33" s="10">
        <v>275</v>
      </c>
      <c r="V33" s="15">
        <f t="shared" si="14"/>
        <v>0</v>
      </c>
      <c r="W33" s="15">
        <f t="shared" si="4"/>
        <v>0</v>
      </c>
      <c r="X33" s="40"/>
      <c r="Y33" s="10">
        <v>325</v>
      </c>
      <c r="Z33" s="15">
        <f t="shared" si="15"/>
        <v>0</v>
      </c>
      <c r="AA33" s="15">
        <f t="shared" si="5"/>
        <v>0</v>
      </c>
      <c r="AB33" s="40"/>
      <c r="AC33" s="10">
        <v>375</v>
      </c>
      <c r="AD33" s="15">
        <f t="shared" si="16"/>
        <v>0</v>
      </c>
      <c r="AE33" s="15">
        <f t="shared" si="6"/>
        <v>0</v>
      </c>
      <c r="AF33" s="20"/>
      <c r="AG33" s="25">
        <f t="shared" si="20"/>
        <v>0.04</v>
      </c>
      <c r="AH33" s="26">
        <v>0.84383606479983264</v>
      </c>
      <c r="AI33" s="17"/>
      <c r="AJ33" s="42">
        <f t="shared" si="18"/>
        <v>25</v>
      </c>
      <c r="AK33" s="64">
        <f t="shared" si="17"/>
        <v>8.4758487330703555E-3</v>
      </c>
      <c r="AL33" s="41"/>
      <c r="AM33" s="80">
        <f>AJ33</f>
        <v>25</v>
      </c>
      <c r="AN33" s="369">
        <v>48030</v>
      </c>
      <c r="AO33" s="370">
        <v>48121</v>
      </c>
      <c r="AP33" s="372">
        <v>8.4758487330703555E-3</v>
      </c>
    </row>
    <row r="34" spans="1:42" ht="15" customHeight="1" x14ac:dyDescent="0.2">
      <c r="A34" s="21">
        <v>26</v>
      </c>
      <c r="B34" s="15">
        <f t="shared" si="8"/>
        <v>7.3860355958274247E-3</v>
      </c>
      <c r="C34" s="15">
        <f t="shared" si="9"/>
        <v>7.3860355958274247E-3</v>
      </c>
      <c r="D34" s="40"/>
      <c r="E34" s="21">
        <v>76</v>
      </c>
      <c r="F34" s="15">
        <f t="shared" si="10"/>
        <v>2.7010394397482609E-4</v>
      </c>
      <c r="G34" s="15">
        <f t="shared" si="0"/>
        <v>2.7010394397482609E-4</v>
      </c>
      <c r="H34" s="40"/>
      <c r="I34" s="21">
        <v>126</v>
      </c>
      <c r="J34" s="15">
        <f t="shared" si="11"/>
        <v>1.2280886748306512E-3</v>
      </c>
      <c r="K34" s="15">
        <f t="shared" si="1"/>
        <v>1.2280886748306512E-3</v>
      </c>
      <c r="L34" s="40"/>
      <c r="M34" s="21">
        <v>176</v>
      </c>
      <c r="N34" s="15">
        <f t="shared" si="12"/>
        <v>0</v>
      </c>
      <c r="O34" s="15">
        <f t="shared" si="2"/>
        <v>0</v>
      </c>
      <c r="P34" s="40"/>
      <c r="Q34" s="21">
        <v>226</v>
      </c>
      <c r="R34" s="15">
        <f t="shared" si="13"/>
        <v>0</v>
      </c>
      <c r="S34" s="15">
        <f t="shared" si="3"/>
        <v>0</v>
      </c>
      <c r="T34" s="40"/>
      <c r="U34" s="21">
        <v>276</v>
      </c>
      <c r="V34" s="15">
        <f t="shared" si="14"/>
        <v>0</v>
      </c>
      <c r="W34" s="15">
        <f t="shared" si="4"/>
        <v>0</v>
      </c>
      <c r="X34" s="40"/>
      <c r="Y34" s="21">
        <v>326</v>
      </c>
      <c r="Z34" s="15">
        <f t="shared" si="15"/>
        <v>0</v>
      </c>
      <c r="AA34" s="15">
        <f t="shared" si="5"/>
        <v>0</v>
      </c>
      <c r="AB34" s="40"/>
      <c r="AC34" s="21">
        <v>376</v>
      </c>
      <c r="AD34" s="15">
        <f t="shared" si="16"/>
        <v>0</v>
      </c>
      <c r="AE34" s="15">
        <f t="shared" si="6"/>
        <v>0</v>
      </c>
      <c r="AF34" s="20"/>
      <c r="AG34" s="25">
        <f t="shared" si="20"/>
        <v>0.05</v>
      </c>
      <c r="AH34" s="26">
        <v>0.81480230132587561</v>
      </c>
      <c r="AI34" s="17"/>
      <c r="AJ34" s="42">
        <f t="shared" si="18"/>
        <v>26</v>
      </c>
      <c r="AK34" s="64">
        <f t="shared" si="17"/>
        <v>7.3860355958274247E-3</v>
      </c>
      <c r="AL34" s="41"/>
      <c r="AM34" s="80">
        <f>AM33+4</f>
        <v>29</v>
      </c>
      <c r="AN34" s="369">
        <v>48122</v>
      </c>
      <c r="AO34" s="370">
        <v>48213</v>
      </c>
      <c r="AP34" s="372">
        <v>7.3860355958274247E-3</v>
      </c>
    </row>
    <row r="35" spans="1:42" ht="15" customHeight="1" x14ac:dyDescent="0.2">
      <c r="A35" s="10">
        <v>27</v>
      </c>
      <c r="B35" s="15">
        <f t="shared" si="8"/>
        <v>5.9029631970724068E-3</v>
      </c>
      <c r="C35" s="15">
        <f t="shared" si="9"/>
        <v>5.9029631970724068E-3</v>
      </c>
      <c r="D35" s="40"/>
      <c r="E35" s="10">
        <v>77</v>
      </c>
      <c r="F35" s="15">
        <f t="shared" si="10"/>
        <v>2.6975892175271223E-4</v>
      </c>
      <c r="G35" s="15">
        <f t="shared" si="0"/>
        <v>2.6975892175271223E-4</v>
      </c>
      <c r="H35" s="40"/>
      <c r="I35" s="10">
        <v>127</v>
      </c>
      <c r="J35" s="15">
        <f t="shared" si="11"/>
        <v>1.2215213557139097E-3</v>
      </c>
      <c r="K35" s="15">
        <f t="shared" si="1"/>
        <v>1.2215213557139097E-3</v>
      </c>
      <c r="L35" s="40"/>
      <c r="M35" s="10">
        <v>177</v>
      </c>
      <c r="N35" s="15">
        <f t="shared" si="12"/>
        <v>0</v>
      </c>
      <c r="O35" s="15">
        <f t="shared" si="2"/>
        <v>0</v>
      </c>
      <c r="P35" s="40"/>
      <c r="Q35" s="10">
        <v>227</v>
      </c>
      <c r="R35" s="15">
        <f t="shared" si="13"/>
        <v>0</v>
      </c>
      <c r="S35" s="15">
        <f t="shared" si="3"/>
        <v>0</v>
      </c>
      <c r="T35" s="40"/>
      <c r="U35" s="10">
        <v>277</v>
      </c>
      <c r="V35" s="15">
        <f t="shared" si="14"/>
        <v>0</v>
      </c>
      <c r="W35" s="15">
        <f t="shared" si="4"/>
        <v>0</v>
      </c>
      <c r="X35" s="40"/>
      <c r="Y35" s="10">
        <v>327</v>
      </c>
      <c r="Z35" s="15">
        <f t="shared" si="15"/>
        <v>0</v>
      </c>
      <c r="AA35" s="15">
        <f t="shared" si="5"/>
        <v>0</v>
      </c>
      <c r="AB35" s="40"/>
      <c r="AC35" s="10">
        <v>377</v>
      </c>
      <c r="AD35" s="15">
        <f t="shared" si="16"/>
        <v>0</v>
      </c>
      <c r="AE35" s="15">
        <f t="shared" si="6"/>
        <v>0</v>
      </c>
      <c r="AF35" s="20"/>
      <c r="AG35" s="25">
        <f t="shared" si="20"/>
        <v>0.06</v>
      </c>
      <c r="AH35" s="26">
        <v>0.78832664614256931</v>
      </c>
      <c r="AI35" s="17"/>
      <c r="AJ35" s="42">
        <f t="shared" si="18"/>
        <v>27</v>
      </c>
      <c r="AK35" s="64">
        <f t="shared" si="17"/>
        <v>5.9029631970724068E-3</v>
      </c>
      <c r="AL35" s="41"/>
      <c r="AM35" s="80">
        <f t="shared" ref="AM35:AM62" si="21">AM34+4</f>
        <v>33</v>
      </c>
      <c r="AN35" s="369">
        <v>48214</v>
      </c>
      <c r="AO35" s="370">
        <v>48304</v>
      </c>
      <c r="AP35" s="372">
        <v>5.9029631970724068E-3</v>
      </c>
    </row>
    <row r="36" spans="1:42" ht="15" customHeight="1" x14ac:dyDescent="0.2">
      <c r="A36" s="21">
        <v>28</v>
      </c>
      <c r="B36" s="15">
        <f t="shared" si="8"/>
        <v>4.5777309882880689E-3</v>
      </c>
      <c r="C36" s="15">
        <f t="shared" si="9"/>
        <v>4.5777309882880689E-3</v>
      </c>
      <c r="D36" s="40"/>
      <c r="E36" s="21">
        <v>78</v>
      </c>
      <c r="F36" s="15">
        <f t="shared" si="10"/>
        <v>3.0946736212048058E-4</v>
      </c>
      <c r="G36" s="15">
        <f t="shared" si="0"/>
        <v>3.0946736212048058E-4</v>
      </c>
      <c r="H36" s="40"/>
      <c r="I36" s="21">
        <v>128</v>
      </c>
      <c r="J36" s="15">
        <f t="shared" si="11"/>
        <v>1.2149540365971685E-3</v>
      </c>
      <c r="K36" s="15">
        <f t="shared" si="1"/>
        <v>1.2149540365971685E-3</v>
      </c>
      <c r="L36" s="40"/>
      <c r="M36" s="21">
        <v>178</v>
      </c>
      <c r="N36" s="15">
        <f t="shared" si="12"/>
        <v>0</v>
      </c>
      <c r="O36" s="15">
        <f t="shared" si="2"/>
        <v>0</v>
      </c>
      <c r="P36" s="40"/>
      <c r="Q36" s="21">
        <v>228</v>
      </c>
      <c r="R36" s="15">
        <f t="shared" si="13"/>
        <v>0</v>
      </c>
      <c r="S36" s="15">
        <f t="shared" si="3"/>
        <v>0</v>
      </c>
      <c r="T36" s="40"/>
      <c r="U36" s="21">
        <v>278</v>
      </c>
      <c r="V36" s="15">
        <f t="shared" si="14"/>
        <v>0</v>
      </c>
      <c r="W36" s="15">
        <f t="shared" si="4"/>
        <v>0</v>
      </c>
      <c r="X36" s="40"/>
      <c r="Y36" s="21">
        <v>328</v>
      </c>
      <c r="Z36" s="15">
        <f t="shared" si="15"/>
        <v>0</v>
      </c>
      <c r="AA36" s="15">
        <f t="shared" si="5"/>
        <v>0</v>
      </c>
      <c r="AB36" s="40"/>
      <c r="AC36" s="21">
        <v>378</v>
      </c>
      <c r="AD36" s="15">
        <f t="shared" si="16"/>
        <v>0</v>
      </c>
      <c r="AE36" s="15">
        <f t="shared" si="6"/>
        <v>0</v>
      </c>
      <c r="AF36" s="20"/>
      <c r="AG36" s="25">
        <f t="shared" si="20"/>
        <v>7.0000000000000007E-2</v>
      </c>
      <c r="AH36" s="26">
        <v>0.76397743558856723</v>
      </c>
      <c r="AI36" s="17"/>
      <c r="AJ36" s="42">
        <f t="shared" si="18"/>
        <v>28</v>
      </c>
      <c r="AK36" s="64">
        <f t="shared" si="17"/>
        <v>4.5777309882880689E-3</v>
      </c>
      <c r="AL36" s="41"/>
      <c r="AM36" s="80">
        <f t="shared" si="21"/>
        <v>37</v>
      </c>
      <c r="AN36" s="369">
        <v>48305</v>
      </c>
      <c r="AO36" s="370">
        <v>48395</v>
      </c>
      <c r="AP36" s="372">
        <v>4.5777309882880689E-3</v>
      </c>
    </row>
    <row r="37" spans="1:42" ht="15" customHeight="1" x14ac:dyDescent="0.2">
      <c r="A37" s="10">
        <v>29</v>
      </c>
      <c r="B37" s="15">
        <f t="shared" si="8"/>
        <v>3.6893025090772502E-3</v>
      </c>
      <c r="C37" s="15">
        <f t="shared" si="9"/>
        <v>3.6893025090772502E-3</v>
      </c>
      <c r="D37" s="40"/>
      <c r="E37" s="10">
        <v>79</v>
      </c>
      <c r="F37" s="15">
        <f t="shared" si="10"/>
        <v>3.5645551729355097E-4</v>
      </c>
      <c r="G37" s="15">
        <f t="shared" si="0"/>
        <v>3.5645551729355097E-4</v>
      </c>
      <c r="H37" s="40"/>
      <c r="I37" s="10">
        <v>129</v>
      </c>
      <c r="J37" s="15">
        <f t="shared" si="11"/>
        <v>1.2215213557139099E-3</v>
      </c>
      <c r="K37" s="15">
        <f t="shared" si="1"/>
        <v>1.2215213557139099E-3</v>
      </c>
      <c r="L37" s="40"/>
      <c r="M37" s="10">
        <v>179</v>
      </c>
      <c r="N37" s="15">
        <f t="shared" si="12"/>
        <v>0</v>
      </c>
      <c r="O37" s="15">
        <f t="shared" si="2"/>
        <v>0</v>
      </c>
      <c r="P37" s="40"/>
      <c r="Q37" s="10">
        <v>229</v>
      </c>
      <c r="R37" s="15">
        <f t="shared" si="13"/>
        <v>0</v>
      </c>
      <c r="S37" s="15">
        <f t="shared" si="3"/>
        <v>0</v>
      </c>
      <c r="T37" s="40"/>
      <c r="U37" s="10">
        <v>279</v>
      </c>
      <c r="V37" s="15">
        <f t="shared" si="14"/>
        <v>0</v>
      </c>
      <c r="W37" s="15">
        <f t="shared" si="4"/>
        <v>0</v>
      </c>
      <c r="X37" s="40"/>
      <c r="Y37" s="10">
        <v>329</v>
      </c>
      <c r="Z37" s="15">
        <f t="shared" si="15"/>
        <v>0</v>
      </c>
      <c r="AA37" s="15">
        <f t="shared" si="5"/>
        <v>0</v>
      </c>
      <c r="AB37" s="40"/>
      <c r="AC37" s="10">
        <v>379</v>
      </c>
      <c r="AD37" s="15">
        <f t="shared" si="16"/>
        <v>0</v>
      </c>
      <c r="AE37" s="15">
        <f t="shared" si="6"/>
        <v>0</v>
      </c>
      <c r="AF37" s="20"/>
      <c r="AG37" s="25">
        <f t="shared" si="20"/>
        <v>0.08</v>
      </c>
      <c r="AH37" s="26">
        <v>0.74142115208731574</v>
      </c>
      <c r="AI37" s="17"/>
      <c r="AJ37" s="42">
        <f t="shared" si="18"/>
        <v>29</v>
      </c>
      <c r="AK37" s="64">
        <f t="shared" si="17"/>
        <v>3.6893025090772502E-3</v>
      </c>
      <c r="AL37" s="41"/>
      <c r="AM37" s="80">
        <f t="shared" si="21"/>
        <v>41</v>
      </c>
      <c r="AN37" s="369">
        <v>48396</v>
      </c>
      <c r="AO37" s="370">
        <v>48487</v>
      </c>
      <c r="AP37" s="372">
        <v>3.6893025090772502E-3</v>
      </c>
    </row>
    <row r="38" spans="1:42" ht="15" customHeight="1" x14ac:dyDescent="0.2">
      <c r="A38" s="21">
        <v>30</v>
      </c>
      <c r="B38" s="15">
        <f t="shared" si="8"/>
        <v>3.2442136322892784E-3</v>
      </c>
      <c r="C38" s="15">
        <f t="shared" si="9"/>
        <v>3.2442136322892784E-3</v>
      </c>
      <c r="D38" s="40"/>
      <c r="E38" s="21">
        <v>80</v>
      </c>
      <c r="F38" s="15">
        <f t="shared" si="10"/>
        <v>3.9812504988566411E-4</v>
      </c>
      <c r="G38" s="15">
        <f t="shared" si="0"/>
        <v>3.9812504988566411E-4</v>
      </c>
      <c r="H38" s="40"/>
      <c r="I38" s="21">
        <v>130</v>
      </c>
      <c r="J38" s="15">
        <f t="shared" si="11"/>
        <v>1.2280886748306512E-3</v>
      </c>
      <c r="K38" s="15">
        <f t="shared" si="1"/>
        <v>1.2280886748306512E-3</v>
      </c>
      <c r="L38" s="40"/>
      <c r="M38" s="21">
        <v>180</v>
      </c>
      <c r="N38" s="15">
        <f t="shared" si="12"/>
        <v>0</v>
      </c>
      <c r="O38" s="15">
        <f t="shared" si="2"/>
        <v>0</v>
      </c>
      <c r="P38" s="40"/>
      <c r="Q38" s="21">
        <v>230</v>
      </c>
      <c r="R38" s="15">
        <f t="shared" si="13"/>
        <v>0</v>
      </c>
      <c r="S38" s="15">
        <f t="shared" si="3"/>
        <v>0</v>
      </c>
      <c r="T38" s="40"/>
      <c r="U38" s="21">
        <v>280</v>
      </c>
      <c r="V38" s="15">
        <f t="shared" si="14"/>
        <v>0</v>
      </c>
      <c r="W38" s="15">
        <f t="shared" si="4"/>
        <v>0</v>
      </c>
      <c r="X38" s="40"/>
      <c r="Y38" s="21">
        <v>330</v>
      </c>
      <c r="Z38" s="15">
        <f t="shared" si="15"/>
        <v>0</v>
      </c>
      <c r="AA38" s="15">
        <f t="shared" si="5"/>
        <v>0</v>
      </c>
      <c r="AB38" s="40"/>
      <c r="AC38" s="21">
        <v>380</v>
      </c>
      <c r="AD38" s="15">
        <f t="shared" si="16"/>
        <v>0</v>
      </c>
      <c r="AE38" s="15">
        <f t="shared" si="6"/>
        <v>0</v>
      </c>
      <c r="AF38" s="20"/>
      <c r="AG38" s="25">
        <f t="shared" si="20"/>
        <v>0.09</v>
      </c>
      <c r="AH38" s="26">
        <v>0.72039724144098682</v>
      </c>
      <c r="AI38" s="17"/>
      <c r="AJ38" s="42">
        <f t="shared" si="18"/>
        <v>30</v>
      </c>
      <c r="AK38" s="64">
        <f t="shared" si="17"/>
        <v>3.2442136322892784E-3</v>
      </c>
      <c r="AL38" s="41"/>
      <c r="AM38" s="80">
        <f t="shared" si="21"/>
        <v>45</v>
      </c>
      <c r="AN38" s="369">
        <v>48488</v>
      </c>
      <c r="AO38" s="370">
        <v>48579</v>
      </c>
      <c r="AP38" s="372">
        <v>3.2442136322892784E-3</v>
      </c>
    </row>
    <row r="39" spans="1:42" ht="15" customHeight="1" x14ac:dyDescent="0.2">
      <c r="A39" s="10">
        <v>31</v>
      </c>
      <c r="B39" s="15">
        <f t="shared" si="8"/>
        <v>2.6357402839747275E-3</v>
      </c>
      <c r="C39" s="15">
        <f t="shared" si="9"/>
        <v>2.6357402839747275E-3</v>
      </c>
      <c r="D39" s="40"/>
      <c r="E39" s="10">
        <v>81</v>
      </c>
      <c r="F39" s="15">
        <f t="shared" si="10"/>
        <v>4.4785539388987312E-4</v>
      </c>
      <c r="G39" s="15">
        <f t="shared" si="0"/>
        <v>4.4785539388987312E-4</v>
      </c>
      <c r="H39" s="40"/>
      <c r="I39" s="10">
        <v>131</v>
      </c>
      <c r="J39" s="15">
        <f t="shared" si="11"/>
        <v>1.2215213557139097E-3</v>
      </c>
      <c r="K39" s="15">
        <f t="shared" si="1"/>
        <v>1.2215213557139097E-3</v>
      </c>
      <c r="L39" s="40"/>
      <c r="M39" s="10">
        <v>181</v>
      </c>
      <c r="N39" s="15">
        <f t="shared" si="12"/>
        <v>0</v>
      </c>
      <c r="O39" s="15">
        <f t="shared" si="2"/>
        <v>0</v>
      </c>
      <c r="P39" s="40"/>
      <c r="Q39" s="10">
        <v>231</v>
      </c>
      <c r="R39" s="15">
        <f t="shared" si="13"/>
        <v>0</v>
      </c>
      <c r="S39" s="15">
        <f t="shared" si="3"/>
        <v>0</v>
      </c>
      <c r="T39" s="40"/>
      <c r="U39" s="10">
        <v>281</v>
      </c>
      <c r="V39" s="15">
        <f t="shared" si="14"/>
        <v>0</v>
      </c>
      <c r="W39" s="15">
        <f t="shared" si="4"/>
        <v>0</v>
      </c>
      <c r="X39" s="40"/>
      <c r="Y39" s="10">
        <v>331</v>
      </c>
      <c r="Z39" s="15">
        <f t="shared" si="15"/>
        <v>0</v>
      </c>
      <c r="AA39" s="15">
        <f t="shared" si="5"/>
        <v>0</v>
      </c>
      <c r="AB39" s="40"/>
      <c r="AC39" s="10">
        <v>381</v>
      </c>
      <c r="AD39" s="15">
        <f t="shared" si="16"/>
        <v>0</v>
      </c>
      <c r="AE39" s="15">
        <f t="shared" si="6"/>
        <v>0</v>
      </c>
      <c r="AF39" s="20"/>
      <c r="AG39" s="25">
        <f t="shared" si="20"/>
        <v>0.1</v>
      </c>
      <c r="AH39" s="26">
        <v>0.70069979916880187</v>
      </c>
      <c r="AI39" s="17"/>
      <c r="AJ39" s="42">
        <f t="shared" si="18"/>
        <v>31</v>
      </c>
      <c r="AK39" s="64">
        <f t="shared" si="17"/>
        <v>2.6357402839747275E-3</v>
      </c>
      <c r="AL39" s="41"/>
      <c r="AM39" s="80">
        <f t="shared" si="21"/>
        <v>49</v>
      </c>
      <c r="AN39" s="369">
        <v>48580</v>
      </c>
      <c r="AO39" s="370">
        <v>48669</v>
      </c>
      <c r="AP39" s="372">
        <v>2.6357402839747275E-3</v>
      </c>
    </row>
    <row r="40" spans="1:42" ht="15" customHeight="1" x14ac:dyDescent="0.2">
      <c r="A40" s="21">
        <v>32</v>
      </c>
      <c r="B40" s="15">
        <f t="shared" si="8"/>
        <v>2.0919003829820422E-3</v>
      </c>
      <c r="C40" s="15">
        <f t="shared" si="9"/>
        <v>2.0919003829820422E-3</v>
      </c>
      <c r="D40" s="40"/>
      <c r="E40" s="21">
        <v>82</v>
      </c>
      <c r="F40" s="15">
        <f t="shared" si="10"/>
        <v>4.9455330641955456E-4</v>
      </c>
      <c r="G40" s="15">
        <f t="shared" si="0"/>
        <v>4.9455330641955456E-4</v>
      </c>
      <c r="H40" s="40"/>
      <c r="I40" s="21">
        <v>132</v>
      </c>
      <c r="J40" s="15">
        <f t="shared" si="11"/>
        <v>1.2149540365971685E-3</v>
      </c>
      <c r="K40" s="15">
        <f t="shared" si="1"/>
        <v>1.2149540365971685E-3</v>
      </c>
      <c r="L40" s="40"/>
      <c r="M40" s="21">
        <v>182</v>
      </c>
      <c r="N40" s="15">
        <f t="shared" si="12"/>
        <v>0</v>
      </c>
      <c r="O40" s="15">
        <f t="shared" si="2"/>
        <v>0</v>
      </c>
      <c r="P40" s="40"/>
      <c r="Q40" s="21">
        <v>232</v>
      </c>
      <c r="R40" s="15">
        <f t="shared" si="13"/>
        <v>0</v>
      </c>
      <c r="S40" s="15">
        <f t="shared" si="3"/>
        <v>0</v>
      </c>
      <c r="T40" s="40"/>
      <c r="U40" s="21">
        <v>282</v>
      </c>
      <c r="V40" s="15">
        <f t="shared" si="14"/>
        <v>0</v>
      </c>
      <c r="W40" s="15">
        <f t="shared" si="4"/>
        <v>0</v>
      </c>
      <c r="X40" s="40"/>
      <c r="Y40" s="21">
        <v>332</v>
      </c>
      <c r="Z40" s="15">
        <f t="shared" si="15"/>
        <v>0</v>
      </c>
      <c r="AA40" s="15">
        <f t="shared" si="5"/>
        <v>0</v>
      </c>
      <c r="AB40" s="40"/>
      <c r="AC40" s="21">
        <v>382</v>
      </c>
      <c r="AD40" s="15">
        <f t="shared" si="16"/>
        <v>0</v>
      </c>
      <c r="AE40" s="15">
        <f t="shared" si="6"/>
        <v>0</v>
      </c>
      <c r="AF40" s="20"/>
      <c r="AG40" s="25">
        <f t="shared" si="20"/>
        <v>0.11</v>
      </c>
      <c r="AH40" s="26">
        <v>0.68216417446999367</v>
      </c>
      <c r="AI40" s="17"/>
      <c r="AJ40" s="42">
        <f t="shared" si="18"/>
        <v>32</v>
      </c>
      <c r="AK40" s="64">
        <f t="shared" si="17"/>
        <v>2.0919003829820422E-3</v>
      </c>
      <c r="AL40" s="41"/>
      <c r="AM40" s="80">
        <f t="shared" si="21"/>
        <v>53</v>
      </c>
      <c r="AN40" s="369">
        <v>48670</v>
      </c>
      <c r="AO40" s="370">
        <v>48760</v>
      </c>
      <c r="AP40" s="372">
        <v>2.0919003829820422E-3</v>
      </c>
    </row>
    <row r="41" spans="1:42" ht="15" customHeight="1" x14ac:dyDescent="0.2">
      <c r="A41" s="10">
        <v>33</v>
      </c>
      <c r="B41" s="15">
        <f t="shared" si="8"/>
        <v>1.8305519665687707E-3</v>
      </c>
      <c r="C41" s="15">
        <f t="shared" si="9"/>
        <v>1.8305519665687707E-3</v>
      </c>
      <c r="D41" s="40"/>
      <c r="E41" s="10">
        <v>83</v>
      </c>
      <c r="F41" s="15">
        <f t="shared" si="10"/>
        <v>5.4822100180414363E-4</v>
      </c>
      <c r="G41" s="15">
        <f t="shared" si="0"/>
        <v>5.4822100180414363E-4</v>
      </c>
      <c r="H41" s="40"/>
      <c r="I41" s="10">
        <v>133</v>
      </c>
      <c r="J41" s="15">
        <f t="shared" si="11"/>
        <v>1.2215213557139099E-3</v>
      </c>
      <c r="K41" s="15">
        <f t="shared" si="1"/>
        <v>1.2215213557139099E-3</v>
      </c>
      <c r="L41" s="40"/>
      <c r="M41" s="10">
        <v>183</v>
      </c>
      <c r="N41" s="15">
        <f t="shared" si="12"/>
        <v>0</v>
      </c>
      <c r="O41" s="15">
        <f t="shared" si="2"/>
        <v>0</v>
      </c>
      <c r="P41" s="40"/>
      <c r="Q41" s="10">
        <v>233</v>
      </c>
      <c r="R41" s="15">
        <f t="shared" si="13"/>
        <v>0</v>
      </c>
      <c r="S41" s="15">
        <f t="shared" si="3"/>
        <v>0</v>
      </c>
      <c r="T41" s="40"/>
      <c r="U41" s="10">
        <v>283</v>
      </c>
      <c r="V41" s="15">
        <f t="shared" si="14"/>
        <v>0</v>
      </c>
      <c r="W41" s="15">
        <f t="shared" si="4"/>
        <v>0</v>
      </c>
      <c r="X41" s="40"/>
      <c r="Y41" s="10">
        <v>333</v>
      </c>
      <c r="Z41" s="15">
        <f t="shared" si="15"/>
        <v>0</v>
      </c>
      <c r="AA41" s="15">
        <f t="shared" si="5"/>
        <v>0</v>
      </c>
      <c r="AB41" s="40"/>
      <c r="AC41" s="10">
        <v>383</v>
      </c>
      <c r="AD41" s="15">
        <f t="shared" si="16"/>
        <v>0</v>
      </c>
      <c r="AE41" s="15">
        <f t="shared" si="6"/>
        <v>0</v>
      </c>
      <c r="AF41" s="20"/>
      <c r="AG41" s="25">
        <f t="shared" si="20"/>
        <v>0.12</v>
      </c>
      <c r="AH41" s="26">
        <v>0.66465711285039575</v>
      </c>
      <c r="AI41" s="17"/>
      <c r="AJ41" s="42">
        <f t="shared" si="18"/>
        <v>33</v>
      </c>
      <c r="AK41" s="64">
        <f t="shared" si="17"/>
        <v>1.8305519665687707E-3</v>
      </c>
      <c r="AL41" s="41"/>
      <c r="AM41" s="80">
        <f t="shared" si="21"/>
        <v>57</v>
      </c>
      <c r="AN41" s="369">
        <v>48761</v>
      </c>
      <c r="AO41" s="370">
        <v>48852</v>
      </c>
      <c r="AP41" s="372">
        <v>1.8305519665687707E-3</v>
      </c>
    </row>
    <row r="42" spans="1:42" ht="15" customHeight="1" x14ac:dyDescent="0.2">
      <c r="A42" s="10">
        <v>34</v>
      </c>
      <c r="B42" s="15">
        <f t="shared" si="8"/>
        <v>1.8224879816428037E-3</v>
      </c>
      <c r="C42" s="15">
        <f t="shared" si="9"/>
        <v>1.8224879816428037E-3</v>
      </c>
      <c r="D42" s="40"/>
      <c r="E42" s="10">
        <v>84</v>
      </c>
      <c r="F42" s="15">
        <f t="shared" si="10"/>
        <v>5.9573151436887362E-4</v>
      </c>
      <c r="G42" s="15">
        <f t="shared" si="0"/>
        <v>5.9573151436887362E-4</v>
      </c>
      <c r="H42" s="40"/>
      <c r="I42" s="10">
        <v>134</v>
      </c>
      <c r="J42" s="15">
        <f t="shared" si="11"/>
        <v>1.2280886748306512E-3</v>
      </c>
      <c r="K42" s="15">
        <f t="shared" si="1"/>
        <v>1.2280886748306512E-3</v>
      </c>
      <c r="L42" s="40"/>
      <c r="M42" s="10">
        <v>184</v>
      </c>
      <c r="N42" s="15">
        <f t="shared" si="12"/>
        <v>0</v>
      </c>
      <c r="O42" s="15">
        <f t="shared" si="2"/>
        <v>0</v>
      </c>
      <c r="P42" s="40"/>
      <c r="Q42" s="10">
        <v>234</v>
      </c>
      <c r="R42" s="15">
        <f t="shared" si="13"/>
        <v>0</v>
      </c>
      <c r="S42" s="15">
        <f t="shared" si="3"/>
        <v>0</v>
      </c>
      <c r="T42" s="40"/>
      <c r="U42" s="10">
        <v>284</v>
      </c>
      <c r="V42" s="15">
        <f t="shared" si="14"/>
        <v>0</v>
      </c>
      <c r="W42" s="15">
        <f t="shared" si="4"/>
        <v>0</v>
      </c>
      <c r="X42" s="40"/>
      <c r="Y42" s="10">
        <v>334</v>
      </c>
      <c r="Z42" s="15">
        <f t="shared" si="15"/>
        <v>0</v>
      </c>
      <c r="AA42" s="15">
        <f t="shared" si="5"/>
        <v>0</v>
      </c>
      <c r="AB42" s="40"/>
      <c r="AC42" s="10">
        <v>384</v>
      </c>
      <c r="AD42" s="15">
        <f t="shared" si="16"/>
        <v>0</v>
      </c>
      <c r="AE42" s="15">
        <f t="shared" si="6"/>
        <v>0</v>
      </c>
      <c r="AF42" s="20"/>
      <c r="AG42" s="16"/>
      <c r="AH42" s="17"/>
      <c r="AI42" s="17"/>
      <c r="AJ42" s="42">
        <f t="shared" si="18"/>
        <v>34</v>
      </c>
      <c r="AK42" s="64">
        <f t="shared" si="17"/>
        <v>1.8224879816428037E-3</v>
      </c>
      <c r="AL42" s="41"/>
      <c r="AM42" s="80">
        <f t="shared" si="21"/>
        <v>61</v>
      </c>
      <c r="AN42" s="369">
        <v>48853</v>
      </c>
      <c r="AO42" s="370">
        <v>48944</v>
      </c>
      <c r="AP42" s="372">
        <v>1.8224879816428037E-3</v>
      </c>
    </row>
    <row r="43" spans="1:42" ht="15" customHeight="1" x14ac:dyDescent="0.2">
      <c r="A43" s="21">
        <v>35</v>
      </c>
      <c r="B43" s="15">
        <f t="shared" si="8"/>
        <v>1.7899760102690321E-3</v>
      </c>
      <c r="C43" s="15">
        <f t="shared" si="9"/>
        <v>1.7899760102690321E-3</v>
      </c>
      <c r="D43" s="40"/>
      <c r="E43" s="21">
        <v>85</v>
      </c>
      <c r="F43" s="15">
        <f t="shared" si="10"/>
        <v>7.0083425544693097E-4</v>
      </c>
      <c r="G43" s="15">
        <f t="shared" si="0"/>
        <v>7.0083425544693097E-4</v>
      </c>
      <c r="H43" s="40"/>
      <c r="I43" s="21">
        <v>135</v>
      </c>
      <c r="J43" s="15">
        <f t="shared" si="11"/>
        <v>1.2215213557139097E-3</v>
      </c>
      <c r="K43" s="15">
        <f t="shared" si="1"/>
        <v>1.2215213557139097E-3</v>
      </c>
      <c r="L43" s="40"/>
      <c r="M43" s="21">
        <v>185</v>
      </c>
      <c r="N43" s="15">
        <f t="shared" si="12"/>
        <v>0</v>
      </c>
      <c r="O43" s="15">
        <f t="shared" si="2"/>
        <v>0</v>
      </c>
      <c r="P43" s="40"/>
      <c r="Q43" s="21">
        <v>235</v>
      </c>
      <c r="R43" s="15">
        <f t="shared" si="13"/>
        <v>0</v>
      </c>
      <c r="S43" s="15">
        <f t="shared" si="3"/>
        <v>0</v>
      </c>
      <c r="T43" s="40"/>
      <c r="U43" s="21">
        <v>285</v>
      </c>
      <c r="V43" s="15">
        <f t="shared" si="14"/>
        <v>0</v>
      </c>
      <c r="W43" s="15">
        <f t="shared" si="4"/>
        <v>0</v>
      </c>
      <c r="X43" s="40"/>
      <c r="Y43" s="21">
        <v>335</v>
      </c>
      <c r="Z43" s="15">
        <f t="shared" si="15"/>
        <v>0</v>
      </c>
      <c r="AA43" s="15">
        <f t="shared" si="5"/>
        <v>0</v>
      </c>
      <c r="AB43" s="40"/>
      <c r="AC43" s="21">
        <v>385</v>
      </c>
      <c r="AD43" s="15">
        <f t="shared" si="16"/>
        <v>0</v>
      </c>
      <c r="AE43" s="15">
        <f t="shared" si="6"/>
        <v>0</v>
      </c>
      <c r="AF43" s="20"/>
      <c r="AG43" s="16"/>
      <c r="AH43" s="17"/>
      <c r="AI43" s="17"/>
      <c r="AJ43" s="42">
        <f t="shared" si="18"/>
        <v>35</v>
      </c>
      <c r="AK43" s="64">
        <f t="shared" si="17"/>
        <v>1.7899760102690321E-3</v>
      </c>
      <c r="AL43" s="41"/>
      <c r="AM43" s="80">
        <f t="shared" si="21"/>
        <v>65</v>
      </c>
      <c r="AN43" s="369">
        <v>48945</v>
      </c>
      <c r="AO43" s="370">
        <v>49034</v>
      </c>
      <c r="AP43" s="372">
        <v>1.7899760102690321E-3</v>
      </c>
    </row>
    <row r="44" spans="1:42" ht="15" customHeight="1" x14ac:dyDescent="0.2">
      <c r="A44" s="10">
        <v>36</v>
      </c>
      <c r="B44" s="15">
        <f t="shared" si="8"/>
        <v>1.7599532738654857E-3</v>
      </c>
      <c r="C44" s="15">
        <f t="shared" si="9"/>
        <v>1.7599532738654857E-3</v>
      </c>
      <c r="D44" s="40"/>
      <c r="E44" s="10">
        <v>86</v>
      </c>
      <c r="F44" s="15">
        <f t="shared" si="10"/>
        <v>8.3558101135292875E-4</v>
      </c>
      <c r="G44" s="15">
        <f t="shared" si="0"/>
        <v>8.3558101135292875E-4</v>
      </c>
      <c r="H44" s="40"/>
      <c r="I44" s="10">
        <v>136</v>
      </c>
      <c r="J44" s="15">
        <f t="shared" si="11"/>
        <v>1.2149540365971685E-3</v>
      </c>
      <c r="K44" s="15">
        <f t="shared" si="1"/>
        <v>1.2149540365971685E-3</v>
      </c>
      <c r="L44" s="40"/>
      <c r="M44" s="10">
        <v>186</v>
      </c>
      <c r="N44" s="15">
        <f t="shared" si="12"/>
        <v>0</v>
      </c>
      <c r="O44" s="15">
        <f t="shared" si="2"/>
        <v>0</v>
      </c>
      <c r="P44" s="40"/>
      <c r="Q44" s="10">
        <v>236</v>
      </c>
      <c r="R44" s="15">
        <f t="shared" si="13"/>
        <v>0</v>
      </c>
      <c r="S44" s="15">
        <f t="shared" si="3"/>
        <v>0</v>
      </c>
      <c r="T44" s="40"/>
      <c r="U44" s="10">
        <v>286</v>
      </c>
      <c r="V44" s="15">
        <f t="shared" si="14"/>
        <v>0</v>
      </c>
      <c r="W44" s="15">
        <f t="shared" si="4"/>
        <v>0</v>
      </c>
      <c r="X44" s="40"/>
      <c r="Y44" s="10">
        <v>336</v>
      </c>
      <c r="Z44" s="15">
        <f t="shared" si="15"/>
        <v>0</v>
      </c>
      <c r="AA44" s="15">
        <f t="shared" si="5"/>
        <v>0</v>
      </c>
      <c r="AB44" s="40"/>
      <c r="AC44" s="10">
        <v>386</v>
      </c>
      <c r="AD44" s="15">
        <f t="shared" si="16"/>
        <v>0</v>
      </c>
      <c r="AE44" s="15">
        <f t="shared" si="6"/>
        <v>0</v>
      </c>
      <c r="AF44" s="20"/>
      <c r="AG44" s="16"/>
      <c r="AH44" s="17"/>
      <c r="AI44" s="17"/>
      <c r="AJ44" s="42">
        <f t="shared" si="18"/>
        <v>36</v>
      </c>
      <c r="AK44" s="64">
        <f t="shared" si="17"/>
        <v>1.7599532738654857E-3</v>
      </c>
      <c r="AL44" s="41"/>
      <c r="AM44" s="80">
        <f t="shared" si="21"/>
        <v>69</v>
      </c>
      <c r="AN44" s="369">
        <v>49035</v>
      </c>
      <c r="AO44" s="370">
        <v>49125</v>
      </c>
      <c r="AP44" s="372">
        <v>1.7599532738654857E-3</v>
      </c>
    </row>
    <row r="45" spans="1:42" ht="15" customHeight="1" x14ac:dyDescent="0.2">
      <c r="A45" s="10">
        <v>37</v>
      </c>
      <c r="B45" s="15">
        <f t="shared" si="8"/>
        <v>1.693973977611174E-3</v>
      </c>
      <c r="C45" s="15">
        <f t="shared" si="9"/>
        <v>1.693973977611174E-3</v>
      </c>
      <c r="D45" s="40"/>
      <c r="E45" s="10">
        <v>87</v>
      </c>
      <c r="F45" s="15">
        <f t="shared" si="10"/>
        <v>9.9764490813696906E-4</v>
      </c>
      <c r="G45" s="15">
        <f t="shared" si="0"/>
        <v>9.9764490813696906E-4</v>
      </c>
      <c r="H45" s="40"/>
      <c r="I45" s="10">
        <v>137</v>
      </c>
      <c r="J45" s="15">
        <f t="shared" si="11"/>
        <v>1.2215213557139099E-3</v>
      </c>
      <c r="K45" s="15">
        <f t="shared" si="1"/>
        <v>1.2215213557139099E-3</v>
      </c>
      <c r="L45" s="40"/>
      <c r="M45" s="10">
        <v>187</v>
      </c>
      <c r="N45" s="15">
        <f t="shared" si="12"/>
        <v>0</v>
      </c>
      <c r="O45" s="15">
        <f t="shared" si="2"/>
        <v>0</v>
      </c>
      <c r="P45" s="40"/>
      <c r="Q45" s="10">
        <v>237</v>
      </c>
      <c r="R45" s="15">
        <f t="shared" si="13"/>
        <v>0</v>
      </c>
      <c r="S45" s="15">
        <f t="shared" si="3"/>
        <v>0</v>
      </c>
      <c r="T45" s="40"/>
      <c r="U45" s="10">
        <v>287</v>
      </c>
      <c r="V45" s="15">
        <f t="shared" si="14"/>
        <v>0</v>
      </c>
      <c r="W45" s="15">
        <f t="shared" si="4"/>
        <v>0</v>
      </c>
      <c r="X45" s="40"/>
      <c r="Y45" s="10">
        <v>337</v>
      </c>
      <c r="Z45" s="15">
        <f t="shared" si="15"/>
        <v>0</v>
      </c>
      <c r="AA45" s="15">
        <f t="shared" si="5"/>
        <v>0</v>
      </c>
      <c r="AB45" s="40"/>
      <c r="AC45" s="10">
        <v>387</v>
      </c>
      <c r="AD45" s="15">
        <f t="shared" si="16"/>
        <v>0</v>
      </c>
      <c r="AE45" s="15">
        <f t="shared" si="6"/>
        <v>0</v>
      </c>
      <c r="AF45" s="20"/>
      <c r="AG45" s="16"/>
      <c r="AH45" s="17"/>
      <c r="AI45" s="17"/>
      <c r="AJ45" s="42">
        <f t="shared" si="18"/>
        <v>37</v>
      </c>
      <c r="AK45" s="64">
        <f t="shared" si="17"/>
        <v>1.693973977611174E-3</v>
      </c>
      <c r="AL45" s="41"/>
      <c r="AM45" s="80">
        <f t="shared" si="21"/>
        <v>73</v>
      </c>
      <c r="AN45" s="369">
        <v>49126</v>
      </c>
      <c r="AO45" s="370">
        <v>49217</v>
      </c>
      <c r="AP45" s="372">
        <v>1.693973977611174E-3</v>
      </c>
    </row>
    <row r="46" spans="1:42" ht="15" customHeight="1" x14ac:dyDescent="0.2">
      <c r="A46" s="21">
        <v>38</v>
      </c>
      <c r="B46" s="15">
        <f t="shared" si="8"/>
        <v>1.5917100966958595E-3</v>
      </c>
      <c r="C46" s="15">
        <f t="shared" si="9"/>
        <v>1.5917100966958595E-3</v>
      </c>
      <c r="D46" s="40"/>
      <c r="E46" s="21">
        <v>88</v>
      </c>
      <c r="F46" s="15">
        <f t="shared" si="10"/>
        <v>1.1415002024976041E-3</v>
      </c>
      <c r="G46" s="15">
        <f t="shared" si="0"/>
        <v>1.1415002024976041E-3</v>
      </c>
      <c r="H46" s="40"/>
      <c r="I46" s="21">
        <v>138</v>
      </c>
      <c r="J46" s="15">
        <f t="shared" si="11"/>
        <v>1.2280886748306512E-3</v>
      </c>
      <c r="K46" s="15">
        <f t="shared" si="1"/>
        <v>1.2280886748306512E-3</v>
      </c>
      <c r="L46" s="40"/>
      <c r="M46" s="21">
        <v>188</v>
      </c>
      <c r="N46" s="15">
        <f t="shared" si="12"/>
        <v>0</v>
      </c>
      <c r="O46" s="15">
        <f t="shared" si="2"/>
        <v>0</v>
      </c>
      <c r="P46" s="40"/>
      <c r="Q46" s="21">
        <v>238</v>
      </c>
      <c r="R46" s="15">
        <f t="shared" si="13"/>
        <v>0</v>
      </c>
      <c r="S46" s="15">
        <f t="shared" si="3"/>
        <v>0</v>
      </c>
      <c r="T46" s="40"/>
      <c r="U46" s="21">
        <v>288</v>
      </c>
      <c r="V46" s="15">
        <f t="shared" si="14"/>
        <v>0</v>
      </c>
      <c r="W46" s="15">
        <f t="shared" si="4"/>
        <v>0</v>
      </c>
      <c r="X46" s="40"/>
      <c r="Y46" s="21">
        <v>338</v>
      </c>
      <c r="Z46" s="15">
        <f t="shared" si="15"/>
        <v>0</v>
      </c>
      <c r="AA46" s="15">
        <f t="shared" si="5"/>
        <v>0</v>
      </c>
      <c r="AB46" s="40"/>
      <c r="AC46" s="21">
        <v>388</v>
      </c>
      <c r="AD46" s="15">
        <f t="shared" si="16"/>
        <v>0</v>
      </c>
      <c r="AE46" s="15">
        <f t="shared" si="6"/>
        <v>0</v>
      </c>
      <c r="AF46" s="20"/>
      <c r="AG46" s="16"/>
      <c r="AH46" s="17"/>
      <c r="AI46" s="17"/>
      <c r="AJ46" s="42">
        <f t="shared" si="18"/>
        <v>38</v>
      </c>
      <c r="AK46" s="64">
        <f t="shared" si="17"/>
        <v>1.5917100966958595E-3</v>
      </c>
      <c r="AL46" s="41"/>
      <c r="AM46" s="80">
        <f t="shared" si="21"/>
        <v>77</v>
      </c>
      <c r="AN46" s="369">
        <v>49218</v>
      </c>
      <c r="AO46" s="370">
        <v>49309</v>
      </c>
      <c r="AP46" s="372">
        <v>1.5917100966958595E-3</v>
      </c>
    </row>
    <row r="47" spans="1:42" ht="15" customHeight="1" x14ac:dyDescent="0.2">
      <c r="A47" s="10">
        <v>39</v>
      </c>
      <c r="B47" s="15">
        <f t="shared" si="8"/>
        <v>1.441595950078258E-3</v>
      </c>
      <c r="C47" s="15">
        <f t="shared" si="9"/>
        <v>1.441595950078258E-3</v>
      </c>
      <c r="D47" s="40"/>
      <c r="E47" s="10">
        <v>89</v>
      </c>
      <c r="F47" s="15">
        <f t="shared" si="10"/>
        <v>1.2215213557139099E-3</v>
      </c>
      <c r="G47" s="15">
        <f t="shared" si="0"/>
        <v>1.2215213557139099E-3</v>
      </c>
      <c r="H47" s="40"/>
      <c r="I47" s="10">
        <v>139</v>
      </c>
      <c r="J47" s="15">
        <f t="shared" si="11"/>
        <v>1.2215213557139099E-3</v>
      </c>
      <c r="K47" s="15">
        <f t="shared" si="1"/>
        <v>1.2215213557139099E-3</v>
      </c>
      <c r="L47" s="40"/>
      <c r="M47" s="10">
        <v>189</v>
      </c>
      <c r="N47" s="15">
        <f t="shared" si="12"/>
        <v>0</v>
      </c>
      <c r="O47" s="15">
        <f t="shared" si="2"/>
        <v>0</v>
      </c>
      <c r="P47" s="40"/>
      <c r="Q47" s="10">
        <v>239</v>
      </c>
      <c r="R47" s="15">
        <f t="shared" si="13"/>
        <v>0</v>
      </c>
      <c r="S47" s="15">
        <f t="shared" si="3"/>
        <v>0</v>
      </c>
      <c r="T47" s="40"/>
      <c r="U47" s="10">
        <v>289</v>
      </c>
      <c r="V47" s="15">
        <f t="shared" si="14"/>
        <v>0</v>
      </c>
      <c r="W47" s="15">
        <f t="shared" si="4"/>
        <v>0</v>
      </c>
      <c r="X47" s="40"/>
      <c r="Y47" s="10">
        <v>339</v>
      </c>
      <c r="Z47" s="15">
        <f t="shared" si="15"/>
        <v>0</v>
      </c>
      <c r="AA47" s="15">
        <f t="shared" si="5"/>
        <v>0</v>
      </c>
      <c r="AB47" s="40"/>
      <c r="AC47" s="10">
        <v>389</v>
      </c>
      <c r="AD47" s="15">
        <f t="shared" si="16"/>
        <v>0</v>
      </c>
      <c r="AE47" s="15">
        <f t="shared" si="6"/>
        <v>0</v>
      </c>
      <c r="AF47" s="20"/>
      <c r="AG47" s="16"/>
      <c r="AH47" s="17"/>
      <c r="AI47" s="17"/>
      <c r="AJ47" s="42">
        <f t="shared" si="18"/>
        <v>39</v>
      </c>
      <c r="AK47" s="64">
        <f t="shared" si="17"/>
        <v>1.441595950078258E-3</v>
      </c>
      <c r="AL47" s="41"/>
      <c r="AM47" s="80">
        <f t="shared" si="21"/>
        <v>81</v>
      </c>
      <c r="AN47" s="369">
        <v>49310</v>
      </c>
      <c r="AO47" s="370">
        <v>49399</v>
      </c>
      <c r="AP47" s="372">
        <v>1.441595950078258E-3</v>
      </c>
    </row>
    <row r="48" spans="1:42" ht="15" customHeight="1" x14ac:dyDescent="0.2">
      <c r="A48" s="10">
        <v>40</v>
      </c>
      <c r="B48" s="15">
        <f t="shared" si="8"/>
        <v>1.3069645737793791E-3</v>
      </c>
      <c r="C48" s="15">
        <f t="shared" si="9"/>
        <v>1.3069645737793791E-3</v>
      </c>
      <c r="D48" s="40"/>
      <c r="E48" s="10">
        <v>90</v>
      </c>
      <c r="F48" s="15">
        <f t="shared" si="10"/>
        <v>1.2280886748306512E-3</v>
      </c>
      <c r="G48" s="15">
        <f t="shared" si="0"/>
        <v>1.2280886748306512E-3</v>
      </c>
      <c r="H48" s="40"/>
      <c r="I48" s="10">
        <v>140</v>
      </c>
      <c r="J48" s="15">
        <f t="shared" si="11"/>
        <v>1.2149540365971685E-3</v>
      </c>
      <c r="K48" s="15">
        <f t="shared" si="1"/>
        <v>1.2149540365971685E-3</v>
      </c>
      <c r="L48" s="40"/>
      <c r="M48" s="10">
        <v>190</v>
      </c>
      <c r="N48" s="15">
        <f t="shared" si="12"/>
        <v>0</v>
      </c>
      <c r="O48" s="15">
        <f t="shared" si="2"/>
        <v>0</v>
      </c>
      <c r="P48" s="40"/>
      <c r="Q48" s="10">
        <v>240</v>
      </c>
      <c r="R48" s="15">
        <f t="shared" si="13"/>
        <v>0</v>
      </c>
      <c r="S48" s="15">
        <f t="shared" si="3"/>
        <v>0</v>
      </c>
      <c r="T48" s="40"/>
      <c r="U48" s="10">
        <v>290</v>
      </c>
      <c r="V48" s="15">
        <f t="shared" si="14"/>
        <v>0</v>
      </c>
      <c r="W48" s="15">
        <f t="shared" si="4"/>
        <v>0</v>
      </c>
      <c r="X48" s="40"/>
      <c r="Y48" s="10">
        <v>340</v>
      </c>
      <c r="Z48" s="15">
        <f t="shared" si="15"/>
        <v>0</v>
      </c>
      <c r="AA48" s="15">
        <f t="shared" si="5"/>
        <v>0</v>
      </c>
      <c r="AB48" s="40"/>
      <c r="AC48" s="10">
        <v>390</v>
      </c>
      <c r="AD48" s="15">
        <f t="shared" si="16"/>
        <v>0</v>
      </c>
      <c r="AE48" s="15">
        <f t="shared" si="6"/>
        <v>0</v>
      </c>
      <c r="AF48" s="20"/>
      <c r="AG48" s="16"/>
      <c r="AH48" s="17"/>
      <c r="AI48" s="17"/>
      <c r="AJ48" s="42">
        <f t="shared" si="18"/>
        <v>40</v>
      </c>
      <c r="AK48" s="64">
        <f t="shared" si="17"/>
        <v>1.3069645737793791E-3</v>
      </c>
      <c r="AL48" s="41"/>
      <c r="AM48" s="80">
        <f t="shared" si="21"/>
        <v>85</v>
      </c>
      <c r="AN48" s="369">
        <v>49400</v>
      </c>
      <c r="AO48" s="370">
        <v>49490</v>
      </c>
      <c r="AP48" s="372">
        <v>1.3069645737793791E-3</v>
      </c>
    </row>
    <row r="49" spans="1:42" ht="15" customHeight="1" x14ac:dyDescent="0.2">
      <c r="A49" s="21">
        <v>41</v>
      </c>
      <c r="B49" s="15">
        <f t="shared" si="8"/>
        <v>1.2080391317085427E-3</v>
      </c>
      <c r="C49" s="15">
        <f t="shared" si="9"/>
        <v>1.2080391317085427E-3</v>
      </c>
      <c r="D49" s="40"/>
      <c r="E49" s="21">
        <v>91</v>
      </c>
      <c r="F49" s="15">
        <f t="shared" si="10"/>
        <v>1.2215213557139099E-3</v>
      </c>
      <c r="G49" s="15">
        <f t="shared" si="0"/>
        <v>1.2215213557139099E-3</v>
      </c>
      <c r="H49" s="40"/>
      <c r="I49" s="21">
        <v>141</v>
      </c>
      <c r="J49" s="15">
        <f t="shared" si="11"/>
        <v>1.0643128655332445E-3</v>
      </c>
      <c r="K49" s="15">
        <f t="shared" si="1"/>
        <v>1.0643128655332445E-3</v>
      </c>
      <c r="L49" s="40"/>
      <c r="M49" s="21">
        <v>191</v>
      </c>
      <c r="N49" s="15">
        <f t="shared" si="12"/>
        <v>0</v>
      </c>
      <c r="O49" s="15">
        <f t="shared" si="2"/>
        <v>0</v>
      </c>
      <c r="P49" s="40"/>
      <c r="Q49" s="21">
        <v>241</v>
      </c>
      <c r="R49" s="15">
        <f t="shared" si="13"/>
        <v>0</v>
      </c>
      <c r="S49" s="15">
        <f t="shared" si="3"/>
        <v>0</v>
      </c>
      <c r="T49" s="40"/>
      <c r="U49" s="21">
        <v>291</v>
      </c>
      <c r="V49" s="15">
        <f t="shared" si="14"/>
        <v>0</v>
      </c>
      <c r="W49" s="15">
        <f t="shared" si="4"/>
        <v>0</v>
      </c>
      <c r="X49" s="40"/>
      <c r="Y49" s="21">
        <v>341</v>
      </c>
      <c r="Z49" s="15">
        <f t="shared" si="15"/>
        <v>0</v>
      </c>
      <c r="AA49" s="15">
        <f t="shared" si="5"/>
        <v>0</v>
      </c>
      <c r="AB49" s="40"/>
      <c r="AC49" s="21">
        <v>391</v>
      </c>
      <c r="AD49" s="15">
        <f t="shared" si="16"/>
        <v>0</v>
      </c>
      <c r="AE49" s="15">
        <f t="shared" si="6"/>
        <v>0</v>
      </c>
      <c r="AF49" s="20"/>
      <c r="AG49" s="16"/>
      <c r="AH49" s="17"/>
      <c r="AI49" s="17"/>
      <c r="AJ49" s="42">
        <f t="shared" si="18"/>
        <v>41</v>
      </c>
      <c r="AK49" s="64">
        <f t="shared" si="17"/>
        <v>1.2080391317085427E-3</v>
      </c>
      <c r="AL49" s="41"/>
      <c r="AM49" s="80">
        <f t="shared" si="21"/>
        <v>89</v>
      </c>
      <c r="AN49" s="369">
        <v>49491</v>
      </c>
      <c r="AO49" s="370">
        <v>49582</v>
      </c>
      <c r="AP49" s="372">
        <v>1.2080391317085427E-3</v>
      </c>
    </row>
    <row r="50" spans="1:42" ht="15" customHeight="1" x14ac:dyDescent="0.2">
      <c r="A50" s="10">
        <v>42</v>
      </c>
      <c r="B50" s="15">
        <f t="shared" si="8"/>
        <v>1.1409728432477551E-3</v>
      </c>
      <c r="C50" s="15">
        <f t="shared" si="9"/>
        <v>1.1409728432477551E-3</v>
      </c>
      <c r="D50" s="40"/>
      <c r="E50" s="10">
        <v>92</v>
      </c>
      <c r="F50" s="15">
        <f t="shared" si="10"/>
        <v>1.2149540365971685E-3</v>
      </c>
      <c r="G50" s="15">
        <f t="shared" si="0"/>
        <v>1.2149540365971685E-3</v>
      </c>
      <c r="H50" s="40"/>
      <c r="I50" s="10">
        <v>142</v>
      </c>
      <c r="J50" s="15">
        <f t="shared" si="11"/>
        <v>8.0230709738254369E-4</v>
      </c>
      <c r="K50" s="15">
        <f t="shared" si="1"/>
        <v>8.0230709738254369E-4</v>
      </c>
      <c r="L50" s="40"/>
      <c r="M50" s="10">
        <v>192</v>
      </c>
      <c r="N50" s="15">
        <f t="shared" si="12"/>
        <v>0</v>
      </c>
      <c r="O50" s="15">
        <f t="shared" si="2"/>
        <v>0</v>
      </c>
      <c r="P50" s="40"/>
      <c r="Q50" s="10">
        <v>242</v>
      </c>
      <c r="R50" s="15">
        <f t="shared" si="13"/>
        <v>0</v>
      </c>
      <c r="S50" s="15">
        <f t="shared" si="3"/>
        <v>0</v>
      </c>
      <c r="T50" s="40"/>
      <c r="U50" s="10">
        <v>292</v>
      </c>
      <c r="V50" s="15">
        <f t="shared" si="14"/>
        <v>0</v>
      </c>
      <c r="W50" s="15">
        <f t="shared" si="4"/>
        <v>0</v>
      </c>
      <c r="X50" s="40"/>
      <c r="Y50" s="10">
        <v>342</v>
      </c>
      <c r="Z50" s="15">
        <f t="shared" si="15"/>
        <v>0</v>
      </c>
      <c r="AA50" s="15">
        <f t="shared" si="5"/>
        <v>0</v>
      </c>
      <c r="AB50" s="40"/>
      <c r="AC50" s="10">
        <v>392</v>
      </c>
      <c r="AD50" s="15">
        <f t="shared" si="16"/>
        <v>0</v>
      </c>
      <c r="AE50" s="15">
        <f t="shared" si="6"/>
        <v>0</v>
      </c>
      <c r="AF50" s="20"/>
      <c r="AG50" s="16"/>
      <c r="AH50" s="17"/>
      <c r="AI50" s="17"/>
      <c r="AJ50" s="42">
        <f t="shared" si="18"/>
        <v>42</v>
      </c>
      <c r="AK50" s="64">
        <f t="shared" si="17"/>
        <v>1.1409728432477551E-3</v>
      </c>
      <c r="AL50" s="41"/>
      <c r="AM50" s="80">
        <f t="shared" si="21"/>
        <v>93</v>
      </c>
      <c r="AN50" s="369">
        <v>49583</v>
      </c>
      <c r="AO50" s="370">
        <v>49674</v>
      </c>
      <c r="AP50" s="372">
        <v>1.1409728432477551E-3</v>
      </c>
    </row>
    <row r="51" spans="1:42" ht="15" customHeight="1" x14ac:dyDescent="0.2">
      <c r="A51" s="10">
        <v>43</v>
      </c>
      <c r="B51" s="15">
        <f t="shared" si="8"/>
        <v>1.0413425379490956E-3</v>
      </c>
      <c r="C51" s="15">
        <f t="shared" si="9"/>
        <v>1.0413425379490956E-3</v>
      </c>
      <c r="D51" s="40"/>
      <c r="E51" s="10">
        <v>93</v>
      </c>
      <c r="F51" s="15">
        <f t="shared" si="10"/>
        <v>1.2215213557139099E-3</v>
      </c>
      <c r="G51" s="15">
        <f t="shared" si="0"/>
        <v>1.2215213557139099E-3</v>
      </c>
      <c r="H51" s="40"/>
      <c r="I51" s="10">
        <v>143</v>
      </c>
      <c r="J51" s="15">
        <f t="shared" si="11"/>
        <v>4.5761568382209446E-4</v>
      </c>
      <c r="K51" s="15">
        <f t="shared" si="1"/>
        <v>4.5761568382209446E-4</v>
      </c>
      <c r="L51" s="40"/>
      <c r="M51" s="10">
        <v>193</v>
      </c>
      <c r="N51" s="15">
        <f t="shared" si="12"/>
        <v>0</v>
      </c>
      <c r="O51" s="15">
        <f t="shared" si="2"/>
        <v>0</v>
      </c>
      <c r="P51" s="40"/>
      <c r="Q51" s="10">
        <v>243</v>
      </c>
      <c r="R51" s="15">
        <f t="shared" si="13"/>
        <v>0</v>
      </c>
      <c r="S51" s="15">
        <f t="shared" si="3"/>
        <v>0</v>
      </c>
      <c r="T51" s="40"/>
      <c r="U51" s="10">
        <v>293</v>
      </c>
      <c r="V51" s="15">
        <f t="shared" si="14"/>
        <v>0</v>
      </c>
      <c r="W51" s="15">
        <f t="shared" si="4"/>
        <v>0</v>
      </c>
      <c r="X51" s="40"/>
      <c r="Y51" s="10">
        <v>343</v>
      </c>
      <c r="Z51" s="15">
        <f t="shared" si="15"/>
        <v>0</v>
      </c>
      <c r="AA51" s="15">
        <f t="shared" si="5"/>
        <v>0</v>
      </c>
      <c r="AB51" s="40"/>
      <c r="AC51" s="10">
        <v>393</v>
      </c>
      <c r="AD51" s="15">
        <f t="shared" si="16"/>
        <v>0</v>
      </c>
      <c r="AE51" s="15">
        <f t="shared" si="6"/>
        <v>0</v>
      </c>
      <c r="AF51" s="20"/>
      <c r="AG51" s="16"/>
      <c r="AH51" s="17"/>
      <c r="AI51" s="17"/>
      <c r="AJ51" s="42">
        <f t="shared" si="18"/>
        <v>43</v>
      </c>
      <c r="AK51" s="64">
        <f t="shared" si="17"/>
        <v>1.0413425379490956E-3</v>
      </c>
      <c r="AL51" s="41"/>
      <c r="AM51" s="80">
        <f t="shared" si="21"/>
        <v>97</v>
      </c>
      <c r="AN51" s="369">
        <v>49675</v>
      </c>
      <c r="AO51" s="370">
        <v>49765</v>
      </c>
      <c r="AP51" s="372">
        <v>1.0413425379490956E-3</v>
      </c>
    </row>
    <row r="52" spans="1:42" ht="15" customHeight="1" x14ac:dyDescent="0.2">
      <c r="A52" s="21">
        <v>44</v>
      </c>
      <c r="B52" s="15">
        <f t="shared" si="8"/>
        <v>9.51938658062032E-4</v>
      </c>
      <c r="C52" s="15">
        <f t="shared" si="9"/>
        <v>9.51938658062032E-4</v>
      </c>
      <c r="D52" s="40"/>
      <c r="E52" s="21">
        <v>94</v>
      </c>
      <c r="F52" s="15">
        <f t="shared" si="10"/>
        <v>1.2280886748306512E-3</v>
      </c>
      <c r="G52" s="15">
        <f t="shared" si="0"/>
        <v>1.2280886748306512E-3</v>
      </c>
      <c r="H52" s="40"/>
      <c r="I52" s="21">
        <v>144</v>
      </c>
      <c r="J52" s="15">
        <f t="shared" si="11"/>
        <v>1.5014364791220223E-4</v>
      </c>
      <c r="K52" s="15">
        <f t="shared" si="1"/>
        <v>1.5014364791220223E-4</v>
      </c>
      <c r="L52" s="40"/>
      <c r="M52" s="21">
        <v>194</v>
      </c>
      <c r="N52" s="15">
        <f t="shared" si="12"/>
        <v>0</v>
      </c>
      <c r="O52" s="15">
        <f t="shared" si="2"/>
        <v>0</v>
      </c>
      <c r="P52" s="40"/>
      <c r="Q52" s="21">
        <v>244</v>
      </c>
      <c r="R52" s="15">
        <f t="shared" si="13"/>
        <v>0</v>
      </c>
      <c r="S52" s="15">
        <f t="shared" si="3"/>
        <v>0</v>
      </c>
      <c r="T52" s="40"/>
      <c r="U52" s="21">
        <v>294</v>
      </c>
      <c r="V52" s="15">
        <f t="shared" si="14"/>
        <v>0</v>
      </c>
      <c r="W52" s="15">
        <f t="shared" si="4"/>
        <v>0</v>
      </c>
      <c r="X52" s="40"/>
      <c r="Y52" s="21">
        <v>344</v>
      </c>
      <c r="Z52" s="15">
        <f t="shared" si="15"/>
        <v>0</v>
      </c>
      <c r="AA52" s="15">
        <f t="shared" si="5"/>
        <v>0</v>
      </c>
      <c r="AB52" s="40"/>
      <c r="AC52" s="21">
        <v>394</v>
      </c>
      <c r="AD52" s="15">
        <f t="shared" si="16"/>
        <v>0</v>
      </c>
      <c r="AE52" s="15">
        <f t="shared" si="6"/>
        <v>0</v>
      </c>
      <c r="AF52" s="20"/>
      <c r="AG52" s="16"/>
      <c r="AH52" s="17"/>
      <c r="AI52" s="17"/>
      <c r="AJ52" s="42">
        <f t="shared" si="18"/>
        <v>44</v>
      </c>
      <c r="AK52" s="64">
        <f t="shared" si="17"/>
        <v>9.51938658062032E-4</v>
      </c>
      <c r="AL52" s="41"/>
      <c r="AM52" s="80">
        <f t="shared" si="21"/>
        <v>101</v>
      </c>
      <c r="AN52" s="369">
        <v>49766</v>
      </c>
      <c r="AO52" s="370">
        <v>49856</v>
      </c>
      <c r="AP52" s="372">
        <v>9.51938658062032E-4</v>
      </c>
    </row>
    <row r="53" spans="1:42" ht="15" customHeight="1" x14ac:dyDescent="0.2">
      <c r="A53" s="10">
        <v>45</v>
      </c>
      <c r="B53" s="15">
        <f t="shared" si="8"/>
        <v>9.1743403033055075E-4</v>
      </c>
      <c r="C53" s="15">
        <f t="shared" si="9"/>
        <v>9.1743403033055075E-4</v>
      </c>
      <c r="D53" s="40"/>
      <c r="E53" s="10">
        <v>95</v>
      </c>
      <c r="F53" s="15">
        <f t="shared" si="10"/>
        <v>1.2215213557139097E-3</v>
      </c>
      <c r="G53" s="15">
        <f t="shared" si="0"/>
        <v>1.2215213557139097E-3</v>
      </c>
      <c r="H53" s="40"/>
      <c r="I53" s="10">
        <v>145</v>
      </c>
      <c r="J53" s="15">
        <f t="shared" si="11"/>
        <v>0</v>
      </c>
      <c r="K53" s="15">
        <f t="shared" si="1"/>
        <v>0</v>
      </c>
      <c r="L53" s="40"/>
      <c r="M53" s="10">
        <v>195</v>
      </c>
      <c r="N53" s="15">
        <f t="shared" si="12"/>
        <v>0</v>
      </c>
      <c r="O53" s="15">
        <f t="shared" si="2"/>
        <v>0</v>
      </c>
      <c r="P53" s="40"/>
      <c r="Q53" s="10">
        <v>245</v>
      </c>
      <c r="R53" s="15">
        <f t="shared" si="13"/>
        <v>0</v>
      </c>
      <c r="S53" s="15">
        <f t="shared" si="3"/>
        <v>0</v>
      </c>
      <c r="T53" s="40"/>
      <c r="U53" s="10">
        <v>295</v>
      </c>
      <c r="V53" s="15">
        <f t="shared" si="14"/>
        <v>0</v>
      </c>
      <c r="W53" s="15">
        <f t="shared" si="4"/>
        <v>0</v>
      </c>
      <c r="X53" s="40"/>
      <c r="Y53" s="10">
        <v>345</v>
      </c>
      <c r="Z53" s="15">
        <f t="shared" si="15"/>
        <v>0</v>
      </c>
      <c r="AA53" s="15">
        <f t="shared" si="5"/>
        <v>0</v>
      </c>
      <c r="AB53" s="40"/>
      <c r="AC53" s="10">
        <v>395</v>
      </c>
      <c r="AD53" s="15">
        <f t="shared" si="16"/>
        <v>0</v>
      </c>
      <c r="AE53" s="15">
        <f t="shared" si="6"/>
        <v>0</v>
      </c>
      <c r="AF53" s="20"/>
      <c r="AG53" s="16"/>
      <c r="AH53" s="17"/>
      <c r="AI53" s="17"/>
      <c r="AJ53" s="42">
        <f t="shared" si="18"/>
        <v>45</v>
      </c>
      <c r="AK53" s="64">
        <f t="shared" si="17"/>
        <v>9.1743403033055075E-4</v>
      </c>
      <c r="AL53" s="41"/>
      <c r="AM53" s="80">
        <f t="shared" si="21"/>
        <v>105</v>
      </c>
      <c r="AN53" s="369">
        <v>49857</v>
      </c>
      <c r="AO53" s="370">
        <v>49948</v>
      </c>
      <c r="AP53" s="372">
        <v>9.1743403033055075E-4</v>
      </c>
    </row>
    <row r="54" spans="1:42" ht="15" customHeight="1" x14ac:dyDescent="0.2">
      <c r="A54" s="10">
        <v>46</v>
      </c>
      <c r="B54" s="15">
        <f t="shared" si="8"/>
        <v>9.2547674406447686E-4</v>
      </c>
      <c r="C54" s="15">
        <f t="shared" si="9"/>
        <v>9.2547674406447686E-4</v>
      </c>
      <c r="D54" s="40"/>
      <c r="E54" s="10">
        <v>96</v>
      </c>
      <c r="F54" s="15">
        <f t="shared" si="10"/>
        <v>1.2149540365971685E-3</v>
      </c>
      <c r="G54" s="15">
        <f t="shared" si="0"/>
        <v>1.2149540365971685E-3</v>
      </c>
      <c r="H54" s="40"/>
      <c r="I54" s="10">
        <v>146</v>
      </c>
      <c r="J54" s="15">
        <f t="shared" si="11"/>
        <v>0</v>
      </c>
      <c r="K54" s="15">
        <f t="shared" si="1"/>
        <v>0</v>
      </c>
      <c r="L54" s="40"/>
      <c r="M54" s="10">
        <v>196</v>
      </c>
      <c r="N54" s="15">
        <f t="shared" si="12"/>
        <v>0</v>
      </c>
      <c r="O54" s="15">
        <f t="shared" si="2"/>
        <v>0</v>
      </c>
      <c r="P54" s="40"/>
      <c r="Q54" s="10">
        <v>246</v>
      </c>
      <c r="R54" s="15">
        <f t="shared" si="13"/>
        <v>0</v>
      </c>
      <c r="S54" s="15">
        <f t="shared" si="3"/>
        <v>0</v>
      </c>
      <c r="T54" s="40"/>
      <c r="U54" s="10">
        <v>296</v>
      </c>
      <c r="V54" s="15">
        <f t="shared" si="14"/>
        <v>0</v>
      </c>
      <c r="W54" s="15">
        <f t="shared" si="4"/>
        <v>0</v>
      </c>
      <c r="X54" s="40"/>
      <c r="Y54" s="10">
        <v>346</v>
      </c>
      <c r="Z54" s="15">
        <f t="shared" si="15"/>
        <v>0</v>
      </c>
      <c r="AA54" s="15">
        <f t="shared" si="5"/>
        <v>0</v>
      </c>
      <c r="AB54" s="40"/>
      <c r="AC54" s="10">
        <v>396</v>
      </c>
      <c r="AD54" s="15">
        <f t="shared" si="16"/>
        <v>0</v>
      </c>
      <c r="AE54" s="15">
        <f t="shared" si="6"/>
        <v>0</v>
      </c>
      <c r="AF54" s="20"/>
      <c r="AG54" s="16"/>
      <c r="AH54" s="17"/>
      <c r="AI54" s="17"/>
      <c r="AJ54" s="42">
        <f t="shared" si="18"/>
        <v>46</v>
      </c>
      <c r="AK54" s="64">
        <f t="shared" si="17"/>
        <v>9.2547674406447686E-4</v>
      </c>
      <c r="AL54" s="41"/>
      <c r="AM54" s="80">
        <f t="shared" si="21"/>
        <v>109</v>
      </c>
      <c r="AN54" s="369">
        <v>49949</v>
      </c>
      <c r="AO54" s="370">
        <v>50040</v>
      </c>
      <c r="AP54" s="372">
        <v>9.2547674406447686E-4</v>
      </c>
    </row>
    <row r="55" spans="1:42" ht="15" customHeight="1" x14ac:dyDescent="0.2">
      <c r="A55" s="21">
        <v>47</v>
      </c>
      <c r="B55" s="15">
        <f t="shared" si="8"/>
        <v>9.2448220807568376E-4</v>
      </c>
      <c r="C55" s="15">
        <f t="shared" si="9"/>
        <v>9.2448220807568376E-4</v>
      </c>
      <c r="D55" s="40"/>
      <c r="E55" s="21">
        <v>97</v>
      </c>
      <c r="F55" s="15">
        <f t="shared" si="10"/>
        <v>1.2215213557139099E-3</v>
      </c>
      <c r="G55" s="15">
        <f t="shared" si="0"/>
        <v>1.2215213557139099E-3</v>
      </c>
      <c r="H55" s="40"/>
      <c r="I55" s="21">
        <v>147</v>
      </c>
      <c r="J55" s="15">
        <f t="shared" si="11"/>
        <v>0</v>
      </c>
      <c r="K55" s="15">
        <f t="shared" si="1"/>
        <v>0</v>
      </c>
      <c r="L55" s="40"/>
      <c r="M55" s="21">
        <v>197</v>
      </c>
      <c r="N55" s="15">
        <f t="shared" si="12"/>
        <v>0</v>
      </c>
      <c r="O55" s="15">
        <f t="shared" si="2"/>
        <v>0</v>
      </c>
      <c r="P55" s="40"/>
      <c r="Q55" s="21">
        <v>247</v>
      </c>
      <c r="R55" s="15">
        <f t="shared" si="13"/>
        <v>0</v>
      </c>
      <c r="S55" s="15">
        <f t="shared" si="3"/>
        <v>0</v>
      </c>
      <c r="T55" s="40"/>
      <c r="U55" s="21">
        <v>297</v>
      </c>
      <c r="V55" s="15">
        <f t="shared" si="14"/>
        <v>0</v>
      </c>
      <c r="W55" s="15">
        <f t="shared" si="4"/>
        <v>0</v>
      </c>
      <c r="X55" s="40"/>
      <c r="Y55" s="21">
        <v>347</v>
      </c>
      <c r="Z55" s="15">
        <f t="shared" si="15"/>
        <v>0</v>
      </c>
      <c r="AA55" s="15">
        <f t="shared" si="5"/>
        <v>0</v>
      </c>
      <c r="AB55" s="40"/>
      <c r="AC55" s="21">
        <v>397</v>
      </c>
      <c r="AD55" s="15">
        <f t="shared" si="16"/>
        <v>0</v>
      </c>
      <c r="AE55" s="15">
        <f t="shared" si="6"/>
        <v>0</v>
      </c>
      <c r="AF55" s="20"/>
      <c r="AG55" s="16"/>
      <c r="AH55" s="17"/>
      <c r="AI55" s="17"/>
      <c r="AJ55" s="42">
        <f t="shared" si="18"/>
        <v>47</v>
      </c>
      <c r="AK55" s="64">
        <f t="shared" si="17"/>
        <v>9.2448220807568376E-4</v>
      </c>
      <c r="AL55" s="41"/>
      <c r="AM55" s="80">
        <f t="shared" si="21"/>
        <v>113</v>
      </c>
      <c r="AN55" s="369">
        <v>50041</v>
      </c>
      <c r="AO55" s="370">
        <v>50130</v>
      </c>
      <c r="AP55" s="372">
        <v>9.2448220807568376E-4</v>
      </c>
    </row>
    <row r="56" spans="1:42" ht="15" customHeight="1" x14ac:dyDescent="0.2">
      <c r="A56" s="10">
        <v>48</v>
      </c>
      <c r="B56" s="15">
        <f t="shared" si="8"/>
        <v>9.2305528374365779E-4</v>
      </c>
      <c r="C56" s="15">
        <f t="shared" si="9"/>
        <v>9.2305528374365779E-4</v>
      </c>
      <c r="D56" s="40"/>
      <c r="E56" s="10">
        <v>98</v>
      </c>
      <c r="F56" s="15">
        <f t="shared" si="10"/>
        <v>1.2280886748306512E-3</v>
      </c>
      <c r="G56" s="15">
        <f t="shared" si="0"/>
        <v>1.2280886748306512E-3</v>
      </c>
      <c r="H56" s="40"/>
      <c r="I56" s="10">
        <v>148</v>
      </c>
      <c r="J56" s="15">
        <f t="shared" si="11"/>
        <v>0</v>
      </c>
      <c r="K56" s="15">
        <f t="shared" si="1"/>
        <v>0</v>
      </c>
      <c r="L56" s="40"/>
      <c r="M56" s="10">
        <v>198</v>
      </c>
      <c r="N56" s="15">
        <f t="shared" si="12"/>
        <v>0</v>
      </c>
      <c r="O56" s="15">
        <f t="shared" si="2"/>
        <v>0</v>
      </c>
      <c r="P56" s="40"/>
      <c r="Q56" s="10">
        <v>248</v>
      </c>
      <c r="R56" s="15">
        <f t="shared" si="13"/>
        <v>0</v>
      </c>
      <c r="S56" s="15">
        <f t="shared" si="3"/>
        <v>0</v>
      </c>
      <c r="T56" s="40"/>
      <c r="U56" s="10">
        <v>298</v>
      </c>
      <c r="V56" s="15">
        <f t="shared" si="14"/>
        <v>0</v>
      </c>
      <c r="W56" s="15">
        <f t="shared" si="4"/>
        <v>0</v>
      </c>
      <c r="X56" s="40"/>
      <c r="Y56" s="10">
        <v>348</v>
      </c>
      <c r="Z56" s="15">
        <f t="shared" si="15"/>
        <v>0</v>
      </c>
      <c r="AA56" s="15">
        <f t="shared" si="5"/>
        <v>0</v>
      </c>
      <c r="AB56" s="40"/>
      <c r="AC56" s="10">
        <v>398</v>
      </c>
      <c r="AD56" s="15">
        <f t="shared" si="16"/>
        <v>0</v>
      </c>
      <c r="AE56" s="15">
        <f t="shared" si="6"/>
        <v>0</v>
      </c>
      <c r="AF56" s="20"/>
      <c r="AG56" s="16"/>
      <c r="AH56" s="17"/>
      <c r="AI56" s="17"/>
      <c r="AJ56" s="42">
        <f t="shared" si="18"/>
        <v>48</v>
      </c>
      <c r="AK56" s="64">
        <f t="shared" si="17"/>
        <v>9.2305528374365779E-4</v>
      </c>
      <c r="AL56" s="41"/>
      <c r="AM56" s="80">
        <f t="shared" si="21"/>
        <v>117</v>
      </c>
      <c r="AN56" s="369">
        <v>50131</v>
      </c>
      <c r="AO56" s="370">
        <v>50221</v>
      </c>
      <c r="AP56" s="372">
        <v>9.2305528374365779E-4</v>
      </c>
    </row>
    <row r="57" spans="1:42" ht="15" customHeight="1" x14ac:dyDescent="0.2">
      <c r="A57" s="10">
        <v>49</v>
      </c>
      <c r="B57" s="15">
        <f t="shared" si="8"/>
        <v>9.0722193076812722E-4</v>
      </c>
      <c r="C57" s="15">
        <f t="shared" si="9"/>
        <v>9.0722193076812722E-4</v>
      </c>
      <c r="D57" s="40"/>
      <c r="E57" s="10">
        <v>99</v>
      </c>
      <c r="F57" s="15">
        <f t="shared" si="10"/>
        <v>1.2215213557139097E-3</v>
      </c>
      <c r="G57" s="15">
        <f t="shared" si="0"/>
        <v>1.2215213557139097E-3</v>
      </c>
      <c r="H57" s="40"/>
      <c r="I57" s="10">
        <v>149</v>
      </c>
      <c r="J57" s="15">
        <f t="shared" si="11"/>
        <v>0</v>
      </c>
      <c r="K57" s="15">
        <f t="shared" si="1"/>
        <v>0</v>
      </c>
      <c r="L57" s="40"/>
      <c r="M57" s="10">
        <v>199</v>
      </c>
      <c r="N57" s="15">
        <f t="shared" si="12"/>
        <v>0</v>
      </c>
      <c r="O57" s="15">
        <f t="shared" si="2"/>
        <v>0</v>
      </c>
      <c r="P57" s="40"/>
      <c r="Q57" s="10">
        <v>249</v>
      </c>
      <c r="R57" s="15">
        <f t="shared" si="13"/>
        <v>0</v>
      </c>
      <c r="S57" s="15">
        <f t="shared" si="3"/>
        <v>0</v>
      </c>
      <c r="T57" s="40"/>
      <c r="U57" s="10">
        <v>299</v>
      </c>
      <c r="V57" s="15">
        <f t="shared" si="14"/>
        <v>0</v>
      </c>
      <c r="W57" s="15">
        <f t="shared" si="4"/>
        <v>0</v>
      </c>
      <c r="X57" s="40"/>
      <c r="Y57" s="10">
        <v>349</v>
      </c>
      <c r="Z57" s="15">
        <f t="shared" si="15"/>
        <v>0</v>
      </c>
      <c r="AA57" s="15">
        <f t="shared" si="5"/>
        <v>0</v>
      </c>
      <c r="AB57" s="40"/>
      <c r="AC57" s="10">
        <v>399</v>
      </c>
      <c r="AD57" s="15">
        <f t="shared" si="16"/>
        <v>0</v>
      </c>
      <c r="AE57" s="15">
        <f>AD57/(1+$C$7)^(AC57*0.25)</f>
        <v>0</v>
      </c>
      <c r="AF57" s="20"/>
      <c r="AG57" s="16"/>
      <c r="AH57" s="17"/>
      <c r="AI57" s="17"/>
      <c r="AJ57" s="42">
        <f t="shared" si="18"/>
        <v>49</v>
      </c>
      <c r="AK57" s="64">
        <f t="shared" si="17"/>
        <v>9.0722193076812722E-4</v>
      </c>
      <c r="AL57" s="41"/>
      <c r="AM57" s="80">
        <f t="shared" si="21"/>
        <v>121</v>
      </c>
      <c r="AN57" s="369">
        <v>50222</v>
      </c>
      <c r="AO57" s="370">
        <v>50313</v>
      </c>
      <c r="AP57" s="372">
        <v>9.0722193076812722E-4</v>
      </c>
    </row>
    <row r="58" spans="1:42" ht="15" customHeight="1" x14ac:dyDescent="0.2">
      <c r="A58" s="21">
        <v>50</v>
      </c>
      <c r="B58" s="15">
        <f>AK58</f>
        <v>8.736513726133032E-4</v>
      </c>
      <c r="C58" s="15">
        <f t="shared" si="9"/>
        <v>8.736513726133032E-4</v>
      </c>
      <c r="D58" s="40"/>
      <c r="E58" s="21">
        <v>100</v>
      </c>
      <c r="F58" s="15">
        <f>AK108</f>
        <v>1.2149540365971685E-3</v>
      </c>
      <c r="G58" s="15">
        <f t="shared" si="0"/>
        <v>1.2149540365971685E-3</v>
      </c>
      <c r="H58" s="40"/>
      <c r="I58" s="21">
        <v>150</v>
      </c>
      <c r="J58" s="15">
        <f>AK158</f>
        <v>0</v>
      </c>
      <c r="K58" s="15">
        <f t="shared" si="1"/>
        <v>0</v>
      </c>
      <c r="L58" s="40"/>
      <c r="M58" s="21">
        <v>200</v>
      </c>
      <c r="N58" s="15">
        <f>AK208</f>
        <v>0</v>
      </c>
      <c r="O58" s="15">
        <f t="shared" si="2"/>
        <v>0</v>
      </c>
      <c r="P58" s="40"/>
      <c r="Q58" s="21">
        <v>250</v>
      </c>
      <c r="R58" s="15">
        <f>AK258</f>
        <v>0</v>
      </c>
      <c r="S58" s="15">
        <f t="shared" si="3"/>
        <v>0</v>
      </c>
      <c r="T58" s="40"/>
      <c r="U58" s="21">
        <v>300</v>
      </c>
      <c r="V58" s="15">
        <f>AK308</f>
        <v>0</v>
      </c>
      <c r="W58" s="15">
        <f t="shared" si="4"/>
        <v>0</v>
      </c>
      <c r="X58" s="40"/>
      <c r="Y58" s="21">
        <v>350</v>
      </c>
      <c r="Z58" s="15">
        <f>AK358</f>
        <v>0</v>
      </c>
      <c r="AA58" s="15">
        <f t="shared" si="5"/>
        <v>0</v>
      </c>
      <c r="AB58" s="40"/>
      <c r="AC58" s="21">
        <v>400</v>
      </c>
      <c r="AD58" s="15">
        <f t="shared" si="16"/>
        <v>0</v>
      </c>
      <c r="AE58" s="15">
        <f t="shared" si="6"/>
        <v>0</v>
      </c>
      <c r="AF58" s="20"/>
      <c r="AG58" s="16"/>
      <c r="AH58" s="17"/>
      <c r="AI58" s="17"/>
      <c r="AJ58" s="42">
        <f t="shared" si="18"/>
        <v>50</v>
      </c>
      <c r="AK58" s="64">
        <f t="shared" si="17"/>
        <v>8.736513726133032E-4</v>
      </c>
      <c r="AL58" s="41"/>
      <c r="AM58" s="80">
        <f t="shared" si="21"/>
        <v>125</v>
      </c>
      <c r="AN58" s="369">
        <v>50314</v>
      </c>
      <c r="AO58" s="370">
        <v>50405</v>
      </c>
      <c r="AP58" s="372">
        <v>8.736513726133032E-4</v>
      </c>
    </row>
    <row r="59" spans="1:42" ht="15" customHeight="1" x14ac:dyDescent="0.2">
      <c r="A59" s="1"/>
      <c r="B59" s="15"/>
      <c r="C59" s="15"/>
      <c r="D59" s="40"/>
      <c r="E59" s="1"/>
      <c r="F59" s="15"/>
      <c r="G59" s="15"/>
      <c r="H59" s="40"/>
      <c r="I59" s="1"/>
      <c r="J59" s="15"/>
      <c r="K59" s="15"/>
      <c r="L59" s="40"/>
      <c r="M59" s="1"/>
      <c r="N59" s="15"/>
      <c r="O59" s="15"/>
      <c r="P59" s="40"/>
      <c r="Q59" s="1"/>
      <c r="R59" s="15"/>
      <c r="S59" s="15"/>
      <c r="T59" s="40"/>
      <c r="U59" s="1"/>
      <c r="V59" s="15"/>
      <c r="W59" s="15"/>
      <c r="X59" s="40"/>
      <c r="Y59" s="1"/>
      <c r="Z59" s="15"/>
      <c r="AA59" s="15"/>
      <c r="AB59" s="40"/>
      <c r="AC59" s="44" t="s">
        <v>47</v>
      </c>
      <c r="AD59" s="28">
        <f>SUM(B9:B58)+SUM(F9:F58)+SUM(J9:J58)+SUM(N9:N58)+SUM(R9:R58)+SUM(V9:V58)+SUM(Z9:Z58)+SUM(AD9:AD58)</f>
        <v>1.0000000000000002</v>
      </c>
      <c r="AE59" s="28">
        <f>SUM(C9:C58)+SUM(G9:G58)+SUM(K9:K58)+SUM(O9:O58)+SUM(S9:S58)+SUM(W9:W58)+SUM(AA9:AA58)+SUM(AE9:AE58)</f>
        <v>1.0000000000000002</v>
      </c>
      <c r="AF59" s="20"/>
      <c r="AG59" s="16"/>
      <c r="AH59" s="17"/>
      <c r="AI59" s="17"/>
      <c r="AJ59" s="42">
        <f t="shared" si="18"/>
        <v>51</v>
      </c>
      <c r="AK59" s="64">
        <f t="shared" si="17"/>
        <v>8.2009484074362766E-4</v>
      </c>
      <c r="AL59" s="41"/>
      <c r="AM59" s="80">
        <f t="shared" si="21"/>
        <v>129</v>
      </c>
      <c r="AN59" s="369">
        <v>50406</v>
      </c>
      <c r="AO59" s="370">
        <v>50495</v>
      </c>
      <c r="AP59" s="372">
        <v>8.2009484074362766E-4</v>
      </c>
    </row>
    <row r="60" spans="1:42" ht="15" customHeight="1" x14ac:dyDescent="0.2">
      <c r="A60" s="1"/>
      <c r="B60" s="15"/>
      <c r="C60" s="15"/>
      <c r="D60" s="40"/>
      <c r="E60" s="1"/>
      <c r="F60" s="15"/>
      <c r="G60" s="15"/>
      <c r="H60" s="40"/>
      <c r="I60" s="1"/>
      <c r="J60" s="15"/>
      <c r="K60" s="15"/>
      <c r="L60" s="40"/>
      <c r="M60" s="1"/>
      <c r="N60" s="15"/>
      <c r="O60" s="15"/>
      <c r="P60" s="40"/>
      <c r="Q60" s="1"/>
      <c r="R60" s="15"/>
      <c r="S60" s="15"/>
      <c r="T60" s="40"/>
      <c r="U60" s="1"/>
      <c r="V60" s="15"/>
      <c r="W60" s="15"/>
      <c r="X60" s="40"/>
      <c r="Y60" s="1"/>
      <c r="Z60" s="15"/>
      <c r="AA60" s="15"/>
      <c r="AB60" s="40"/>
      <c r="AC60" s="1"/>
      <c r="AD60" s="15"/>
      <c r="AE60" s="15"/>
      <c r="AF60" s="20"/>
      <c r="AG60" s="16"/>
      <c r="AH60" s="17"/>
      <c r="AI60" s="17"/>
      <c r="AJ60" s="42">
        <f t="shared" si="18"/>
        <v>52</v>
      </c>
      <c r="AK60" s="64">
        <f t="shared" si="17"/>
        <v>7.7188334123106609E-4</v>
      </c>
      <c r="AL60" s="41"/>
      <c r="AM60" s="80">
        <f t="shared" si="21"/>
        <v>133</v>
      </c>
      <c r="AN60" s="369">
        <v>50496</v>
      </c>
      <c r="AO60" s="370">
        <v>50586</v>
      </c>
      <c r="AP60" s="372">
        <v>7.7188334123106609E-4</v>
      </c>
    </row>
    <row r="61" spans="1:42" ht="15" customHeight="1" x14ac:dyDescent="0.2">
      <c r="A61" s="1"/>
      <c r="B61" s="15"/>
      <c r="C61" s="15"/>
      <c r="D61" s="40"/>
      <c r="E61" s="1"/>
      <c r="F61" s="15"/>
      <c r="G61" s="15"/>
      <c r="H61" s="40"/>
      <c r="I61" s="1"/>
      <c r="J61" s="15"/>
      <c r="K61" s="15"/>
      <c r="L61" s="40"/>
      <c r="M61" s="1"/>
      <c r="N61" s="15"/>
      <c r="O61" s="15"/>
      <c r="P61" s="40"/>
      <c r="Q61" s="1"/>
      <c r="R61" s="15"/>
      <c r="S61" s="15"/>
      <c r="T61" s="40"/>
      <c r="U61" s="1"/>
      <c r="V61" s="15"/>
      <c r="W61" s="15"/>
      <c r="X61" s="40"/>
      <c r="Y61" s="1"/>
      <c r="Z61" s="15"/>
      <c r="AA61" s="15"/>
      <c r="AB61" s="40"/>
      <c r="AC61" s="1"/>
      <c r="AD61" s="15"/>
      <c r="AE61" s="15"/>
      <c r="AF61" s="20"/>
      <c r="AG61" s="16"/>
      <c r="AH61" s="17"/>
      <c r="AI61" s="17"/>
      <c r="AJ61" s="42">
        <f t="shared" si="18"/>
        <v>53</v>
      </c>
      <c r="AK61" s="64">
        <f t="shared" si="17"/>
        <v>7.4789827997985439E-4</v>
      </c>
      <c r="AL61" s="41"/>
      <c r="AM61" s="80">
        <f t="shared" si="21"/>
        <v>137</v>
      </c>
      <c r="AN61" s="369">
        <v>50587</v>
      </c>
      <c r="AO61" s="370">
        <v>50678</v>
      </c>
      <c r="AP61" s="372">
        <v>7.4789827997985439E-4</v>
      </c>
    </row>
    <row r="62" spans="1:42" ht="15" customHeight="1" x14ac:dyDescent="0.2">
      <c r="A62" s="1"/>
      <c r="B62" s="15"/>
      <c r="C62" s="15"/>
      <c r="D62" s="40"/>
      <c r="E62" s="1"/>
      <c r="F62" s="15"/>
      <c r="G62" s="15"/>
      <c r="H62" s="40"/>
      <c r="I62" s="1"/>
      <c r="J62" s="15"/>
      <c r="K62" s="15"/>
      <c r="L62" s="40"/>
      <c r="M62" s="1"/>
      <c r="N62" s="15"/>
      <c r="O62" s="15"/>
      <c r="P62" s="40"/>
      <c r="Q62" s="1"/>
      <c r="R62" s="15"/>
      <c r="S62" s="15"/>
      <c r="T62" s="40"/>
      <c r="U62" s="1"/>
      <c r="V62" s="15"/>
      <c r="W62" s="15"/>
      <c r="X62" s="40"/>
      <c r="Y62" s="1"/>
      <c r="Z62" s="15"/>
      <c r="AA62" s="15"/>
      <c r="AB62" s="40"/>
      <c r="AC62" s="1"/>
      <c r="AD62" s="15"/>
      <c r="AE62" s="15"/>
      <c r="AF62" s="20"/>
      <c r="AG62" s="16"/>
      <c r="AH62" s="17"/>
      <c r="AI62" s="17"/>
      <c r="AJ62" s="42">
        <f t="shared" si="18"/>
        <v>54</v>
      </c>
      <c r="AK62" s="64">
        <f t="shared" si="17"/>
        <v>7.4088560598694502E-4</v>
      </c>
      <c r="AL62" s="41"/>
      <c r="AM62" s="80">
        <f t="shared" si="21"/>
        <v>141</v>
      </c>
      <c r="AN62" s="369">
        <v>50679</v>
      </c>
      <c r="AO62" s="370">
        <v>50770</v>
      </c>
      <c r="AP62" s="372">
        <v>7.4088560598694502E-4</v>
      </c>
    </row>
    <row r="63" spans="1:42" ht="15" customHeight="1" x14ac:dyDescent="0.2">
      <c r="A63" s="1"/>
      <c r="B63" s="15"/>
      <c r="C63" s="15"/>
      <c r="D63" s="40"/>
      <c r="E63" s="1"/>
      <c r="F63" s="15"/>
      <c r="G63" s="15"/>
      <c r="H63" s="40"/>
      <c r="I63" s="1"/>
      <c r="J63" s="15"/>
      <c r="K63" s="15"/>
      <c r="L63" s="40"/>
      <c r="M63" s="1"/>
      <c r="N63" s="15"/>
      <c r="O63" s="15"/>
      <c r="P63" s="40"/>
      <c r="Q63" s="1"/>
      <c r="R63" s="15"/>
      <c r="S63" s="15"/>
      <c r="T63" s="40"/>
      <c r="U63" s="1"/>
      <c r="V63" s="15"/>
      <c r="W63" s="15"/>
      <c r="X63" s="40"/>
      <c r="Y63" s="1"/>
      <c r="Z63" s="15"/>
      <c r="AA63" s="15"/>
      <c r="AB63" s="40"/>
      <c r="AC63" s="1"/>
      <c r="AD63" s="15"/>
      <c r="AE63" s="15"/>
      <c r="AF63" s="20"/>
      <c r="AG63" s="16"/>
      <c r="AH63" s="17"/>
      <c r="AI63" s="17"/>
      <c r="AJ63" s="42">
        <f t="shared" si="18"/>
        <v>55</v>
      </c>
      <c r="AK63" s="64">
        <f t="shared" si="17"/>
        <v>7.2289500528959286E-4</v>
      </c>
      <c r="AL63" s="41"/>
      <c r="AM63" s="41"/>
      <c r="AN63" s="369">
        <v>50771</v>
      </c>
      <c r="AO63" s="370">
        <v>50860</v>
      </c>
      <c r="AP63" s="372">
        <v>7.2289500528959286E-4</v>
      </c>
    </row>
    <row r="64" spans="1:42" ht="15" customHeight="1" x14ac:dyDescent="0.2">
      <c r="A64" s="1"/>
      <c r="B64" s="15"/>
      <c r="C64" s="15"/>
      <c r="D64" s="40"/>
      <c r="E64" s="1"/>
      <c r="F64" s="15"/>
      <c r="G64" s="15"/>
      <c r="H64" s="40"/>
      <c r="I64" s="1"/>
      <c r="J64" s="15"/>
      <c r="K64" s="15"/>
      <c r="L64" s="40"/>
      <c r="M64" s="1"/>
      <c r="N64" s="15"/>
      <c r="O64" s="15"/>
      <c r="P64" s="40"/>
      <c r="Q64" s="1"/>
      <c r="R64" s="15"/>
      <c r="S64" s="15"/>
      <c r="T64" s="40"/>
      <c r="U64" s="1"/>
      <c r="V64" s="15"/>
      <c r="W64" s="15"/>
      <c r="X64" s="40"/>
      <c r="Y64" s="1"/>
      <c r="Z64" s="15"/>
      <c r="AA64" s="15"/>
      <c r="AB64" s="40"/>
      <c r="AC64" s="1"/>
      <c r="AD64" s="15"/>
      <c r="AE64" s="15"/>
      <c r="AF64" s="20"/>
      <c r="AG64" s="16"/>
      <c r="AH64" s="17"/>
      <c r="AI64" s="17"/>
      <c r="AJ64" s="42">
        <f t="shared" si="18"/>
        <v>56</v>
      </c>
      <c r="AK64" s="64">
        <f t="shared" si="17"/>
        <v>7.0643829390514739E-4</v>
      </c>
      <c r="AL64" s="41"/>
      <c r="AM64" s="41"/>
      <c r="AN64" s="369">
        <v>50861</v>
      </c>
      <c r="AO64" s="370">
        <v>50951</v>
      </c>
      <c r="AP64" s="372">
        <v>7.0643829390514739E-4</v>
      </c>
    </row>
    <row r="65" spans="36:42" ht="15" customHeight="1" x14ac:dyDescent="0.2">
      <c r="AJ65" s="42">
        <f t="shared" si="18"/>
        <v>57</v>
      </c>
      <c r="AK65" s="64">
        <f t="shared" si="17"/>
        <v>7.1096805972252974E-4</v>
      </c>
      <c r="AL65" s="41"/>
      <c r="AM65" s="41"/>
      <c r="AN65" s="369">
        <v>50952</v>
      </c>
      <c r="AO65" s="370">
        <v>51043</v>
      </c>
      <c r="AP65" s="372">
        <v>7.1096805972252974E-4</v>
      </c>
    </row>
    <row r="66" spans="36:42" ht="15" customHeight="1" x14ac:dyDescent="0.2">
      <c r="AJ66" s="42">
        <f t="shared" si="18"/>
        <v>58</v>
      </c>
      <c r="AK66" s="64">
        <f t="shared" si="17"/>
        <v>7.2659636677600847E-4</v>
      </c>
      <c r="AL66" s="41"/>
      <c r="AM66" s="41"/>
      <c r="AN66" s="369">
        <v>51044</v>
      </c>
      <c r="AO66" s="370">
        <v>51135</v>
      </c>
      <c r="AP66" s="372">
        <v>7.2659636677600847E-4</v>
      </c>
    </row>
    <row r="67" spans="36:42" ht="15" customHeight="1" x14ac:dyDescent="0.2">
      <c r="AJ67" s="42">
        <f t="shared" si="18"/>
        <v>59</v>
      </c>
      <c r="AK67" s="64">
        <f t="shared" si="17"/>
        <v>7.3772136279402962E-4</v>
      </c>
      <c r="AL67" s="41"/>
      <c r="AM67" s="41"/>
      <c r="AN67" s="369">
        <v>51136</v>
      </c>
      <c r="AO67" s="370">
        <v>51226</v>
      </c>
      <c r="AP67" s="372">
        <v>7.3772136279402962E-4</v>
      </c>
    </row>
    <row r="68" spans="36:42" ht="15" customHeight="1" x14ac:dyDescent="0.2">
      <c r="AJ68" s="42">
        <f t="shared" si="18"/>
        <v>60</v>
      </c>
      <c r="AK68" s="64">
        <f t="shared" si="17"/>
        <v>7.4720510956871405E-4</v>
      </c>
      <c r="AL68" s="41"/>
      <c r="AM68" s="41"/>
      <c r="AN68" s="369">
        <v>51227</v>
      </c>
      <c r="AO68" s="370">
        <v>51317</v>
      </c>
      <c r="AP68" s="372">
        <v>7.4720510956871405E-4</v>
      </c>
    </row>
    <row r="69" spans="36:42" ht="15" customHeight="1" x14ac:dyDescent="0.2">
      <c r="AJ69" s="42">
        <f t="shared" si="18"/>
        <v>61</v>
      </c>
      <c r="AK69" s="64">
        <f t="shared" si="17"/>
        <v>6.9799351574315483E-4</v>
      </c>
      <c r="AL69" s="41"/>
      <c r="AM69" s="41"/>
      <c r="AN69" s="369">
        <v>51318</v>
      </c>
      <c r="AO69" s="370">
        <v>51409</v>
      </c>
      <c r="AP69" s="372">
        <v>6.9799351574315483E-4</v>
      </c>
    </row>
    <row r="70" spans="36:42" ht="15" customHeight="1" x14ac:dyDescent="0.2">
      <c r="AJ70" s="42">
        <f t="shared" si="18"/>
        <v>62</v>
      </c>
      <c r="AK70" s="64">
        <f t="shared" si="17"/>
        <v>5.9972358484955619E-4</v>
      </c>
      <c r="AL70" s="41"/>
      <c r="AM70" s="41"/>
      <c r="AN70" s="369">
        <v>51410</v>
      </c>
      <c r="AO70" s="370">
        <v>51501</v>
      </c>
      <c r="AP70" s="372">
        <v>5.9972358484955619E-4</v>
      </c>
    </row>
    <row r="71" spans="36:42" ht="15" customHeight="1" x14ac:dyDescent="0.2">
      <c r="AJ71" s="42">
        <f t="shared" si="18"/>
        <v>63</v>
      </c>
      <c r="AK71" s="64">
        <f t="shared" si="17"/>
        <v>4.6680050651691686E-4</v>
      </c>
      <c r="AL71" s="41"/>
      <c r="AM71" s="41"/>
      <c r="AN71" s="369">
        <v>51502</v>
      </c>
      <c r="AO71" s="370">
        <v>51591</v>
      </c>
      <c r="AP71" s="372">
        <v>4.6680050651691686E-4</v>
      </c>
    </row>
    <row r="72" spans="36:42" ht="15" customHeight="1" x14ac:dyDescent="0.2">
      <c r="AJ72" s="42">
        <f t="shared" si="18"/>
        <v>64</v>
      </c>
      <c r="AK72" s="64">
        <f t="shared" si="17"/>
        <v>3.4806054981390271E-4</v>
      </c>
      <c r="AL72" s="41"/>
      <c r="AM72" s="41"/>
      <c r="AN72" s="369">
        <v>51592</v>
      </c>
      <c r="AO72" s="370">
        <v>51682</v>
      </c>
      <c r="AP72" s="372">
        <v>3.4806054981390271E-4</v>
      </c>
    </row>
    <row r="73" spans="36:42" ht="15" customHeight="1" x14ac:dyDescent="0.2">
      <c r="AJ73" s="42">
        <f t="shared" si="18"/>
        <v>65</v>
      </c>
      <c r="AK73" s="64">
        <f t="shared" si="17"/>
        <v>3.0564820222715342E-4</v>
      </c>
      <c r="AL73" s="41"/>
      <c r="AM73" s="41"/>
      <c r="AN73" s="369">
        <v>51683</v>
      </c>
      <c r="AO73" s="370">
        <v>51774</v>
      </c>
      <c r="AP73" s="372">
        <v>3.0564820222715342E-4</v>
      </c>
    </row>
    <row r="74" spans="36:42" ht="15" customHeight="1" x14ac:dyDescent="0.2">
      <c r="AJ74" s="42">
        <f t="shared" si="18"/>
        <v>66</v>
      </c>
      <c r="AK74" s="64">
        <f t="shared" ref="AK74:AK137" si="22">AP74</f>
        <v>3.2982314197849171E-4</v>
      </c>
      <c r="AL74" s="41"/>
      <c r="AM74" s="41"/>
      <c r="AN74" s="369">
        <v>51775</v>
      </c>
      <c r="AO74" s="370">
        <v>51866</v>
      </c>
      <c r="AP74" s="372">
        <v>3.2982314197849171E-4</v>
      </c>
    </row>
    <row r="75" spans="36:42" ht="15" customHeight="1" x14ac:dyDescent="0.2">
      <c r="AJ75" s="42">
        <f t="shared" ref="AJ75:AJ138" si="23">AJ74+1</f>
        <v>67</v>
      </c>
      <c r="AK75" s="64">
        <f t="shared" si="22"/>
        <v>3.5670713780926454E-4</v>
      </c>
      <c r="AL75" s="41"/>
      <c r="AM75" s="41"/>
      <c r="AN75" s="369">
        <v>51867</v>
      </c>
      <c r="AO75" s="370">
        <v>51956</v>
      </c>
      <c r="AP75" s="372">
        <v>3.5670713780926454E-4</v>
      </c>
    </row>
    <row r="76" spans="36:42" ht="15" customHeight="1" x14ac:dyDescent="0.2">
      <c r="AJ76" s="42">
        <f t="shared" si="23"/>
        <v>68</v>
      </c>
      <c r="AK76" s="64">
        <f t="shared" si="22"/>
        <v>3.8045879371304751E-4</v>
      </c>
      <c r="AL76" s="41"/>
      <c r="AM76" s="41"/>
      <c r="AN76" s="369">
        <v>51957</v>
      </c>
      <c r="AO76" s="370">
        <v>52047</v>
      </c>
      <c r="AP76" s="372">
        <v>3.8045879371304751E-4</v>
      </c>
    </row>
    <row r="77" spans="36:42" ht="15" customHeight="1" x14ac:dyDescent="0.2">
      <c r="AJ77" s="42">
        <f t="shared" si="23"/>
        <v>69</v>
      </c>
      <c r="AK77" s="64">
        <f t="shared" si="22"/>
        <v>4.0145707944189054E-4</v>
      </c>
      <c r="AL77" s="41"/>
      <c r="AM77" s="41"/>
      <c r="AN77" s="369">
        <v>52048</v>
      </c>
      <c r="AO77" s="370">
        <v>52139</v>
      </c>
      <c r="AP77" s="372">
        <v>4.0145707944189054E-4</v>
      </c>
    </row>
    <row r="78" spans="36:42" ht="15" customHeight="1" x14ac:dyDescent="0.2">
      <c r="AJ78" s="42">
        <f t="shared" si="23"/>
        <v>70</v>
      </c>
      <c r="AK78" s="64">
        <f t="shared" si="22"/>
        <v>4.1423804196830246E-4</v>
      </c>
      <c r="AL78" s="41"/>
      <c r="AM78" s="41"/>
      <c r="AN78" s="369">
        <v>52140</v>
      </c>
      <c r="AO78" s="370">
        <v>52231</v>
      </c>
      <c r="AP78" s="372">
        <v>4.1423804196830246E-4</v>
      </c>
    </row>
    <row r="79" spans="36:42" ht="15" customHeight="1" x14ac:dyDescent="0.2">
      <c r="AJ79" s="42">
        <f t="shared" si="23"/>
        <v>71</v>
      </c>
      <c r="AK79" s="64">
        <f t="shared" si="22"/>
        <v>4.2552889480165681E-4</v>
      </c>
      <c r="AL79" s="41"/>
      <c r="AM79" s="41"/>
      <c r="AN79" s="369">
        <v>52232</v>
      </c>
      <c r="AO79" s="370">
        <v>52321</v>
      </c>
      <c r="AP79" s="372">
        <v>4.2552889480165681E-4</v>
      </c>
    </row>
    <row r="80" spans="36:42" ht="15" customHeight="1" x14ac:dyDescent="0.2">
      <c r="AJ80" s="42">
        <f t="shared" si="23"/>
        <v>72</v>
      </c>
      <c r="AK80" s="64">
        <f t="shared" si="22"/>
        <v>4.3534300105761215E-4</v>
      </c>
      <c r="AL80" s="41"/>
      <c r="AM80" s="41"/>
      <c r="AN80" s="369">
        <v>52322</v>
      </c>
      <c r="AO80" s="370">
        <v>52412</v>
      </c>
      <c r="AP80" s="372">
        <v>4.3534300105761215E-4</v>
      </c>
    </row>
    <row r="81" spans="36:42" ht="15" customHeight="1" x14ac:dyDescent="0.2">
      <c r="AJ81" s="42">
        <f t="shared" si="23"/>
        <v>73</v>
      </c>
      <c r="AK81" s="64">
        <f t="shared" si="22"/>
        <v>4.1841023013706162E-4</v>
      </c>
      <c r="AL81" s="41"/>
      <c r="AM81" s="41"/>
      <c r="AN81" s="369">
        <v>52413</v>
      </c>
      <c r="AO81" s="370">
        <v>52504</v>
      </c>
      <c r="AP81" s="372">
        <v>4.1841023013706162E-4</v>
      </c>
    </row>
    <row r="82" spans="36:42" ht="15" customHeight="1" x14ac:dyDescent="0.2">
      <c r="AJ82" s="42">
        <f t="shared" si="23"/>
        <v>74</v>
      </c>
      <c r="AK82" s="64">
        <f t="shared" si="22"/>
        <v>3.7761544818917803E-4</v>
      </c>
      <c r="AL82" s="41"/>
      <c r="AM82" s="41"/>
      <c r="AN82" s="369">
        <v>52505</v>
      </c>
      <c r="AO82" s="370">
        <v>52596</v>
      </c>
      <c r="AP82" s="372">
        <v>3.7761544818917803E-4</v>
      </c>
    </row>
    <row r="83" spans="36:42" ht="15" customHeight="1" x14ac:dyDescent="0.2">
      <c r="AJ83" s="42">
        <f t="shared" si="23"/>
        <v>75</v>
      </c>
      <c r="AK83" s="64">
        <f t="shared" si="22"/>
        <v>3.2086769907762089E-4</v>
      </c>
      <c r="AL83" s="41"/>
      <c r="AM83" s="41"/>
      <c r="AN83" s="369">
        <v>52597</v>
      </c>
      <c r="AO83" s="370">
        <v>52687</v>
      </c>
      <c r="AP83" s="372">
        <v>3.2086769907762089E-4</v>
      </c>
    </row>
    <row r="84" spans="36:42" ht="15" customHeight="1" x14ac:dyDescent="0.2">
      <c r="AJ84" s="42">
        <f t="shared" si="23"/>
        <v>76</v>
      </c>
      <c r="AK84" s="64">
        <f t="shared" si="22"/>
        <v>2.7010394397482609E-4</v>
      </c>
      <c r="AL84" s="41"/>
      <c r="AM84" s="41"/>
      <c r="AN84" s="369">
        <v>52688</v>
      </c>
      <c r="AO84" s="370">
        <v>52778</v>
      </c>
      <c r="AP84" s="372">
        <v>2.7010394397482609E-4</v>
      </c>
    </row>
    <row r="85" spans="36:42" ht="15" customHeight="1" x14ac:dyDescent="0.2">
      <c r="AJ85" s="42">
        <f t="shared" si="23"/>
        <v>77</v>
      </c>
      <c r="AK85" s="64">
        <f t="shared" si="22"/>
        <v>2.6975892175271223E-4</v>
      </c>
      <c r="AL85" s="41"/>
      <c r="AM85" s="41"/>
      <c r="AN85" s="369">
        <v>52779</v>
      </c>
      <c r="AO85" s="370">
        <v>52870</v>
      </c>
      <c r="AP85" s="372">
        <v>2.6975892175271223E-4</v>
      </c>
    </row>
    <row r="86" spans="36:42" ht="15" customHeight="1" x14ac:dyDescent="0.2">
      <c r="AJ86" s="42">
        <f t="shared" si="23"/>
        <v>78</v>
      </c>
      <c r="AK86" s="64">
        <f t="shared" si="22"/>
        <v>3.0946736212048058E-4</v>
      </c>
      <c r="AL86" s="41"/>
      <c r="AM86" s="41"/>
      <c r="AN86" s="369">
        <v>52871</v>
      </c>
      <c r="AO86" s="370">
        <v>52962</v>
      </c>
      <c r="AP86" s="372">
        <v>3.0946736212048058E-4</v>
      </c>
    </row>
    <row r="87" spans="36:42" ht="15" customHeight="1" x14ac:dyDescent="0.2">
      <c r="AJ87" s="42">
        <f t="shared" si="23"/>
        <v>79</v>
      </c>
      <c r="AK87" s="64">
        <f t="shared" si="22"/>
        <v>3.5645551729355097E-4</v>
      </c>
      <c r="AL87" s="41"/>
      <c r="AM87" s="41"/>
      <c r="AN87" s="369">
        <v>52963</v>
      </c>
      <c r="AO87" s="370">
        <v>53052</v>
      </c>
      <c r="AP87" s="372">
        <v>3.5645551729355097E-4</v>
      </c>
    </row>
    <row r="88" spans="36:42" ht="15" customHeight="1" x14ac:dyDescent="0.2">
      <c r="AJ88" s="42">
        <f t="shared" si="23"/>
        <v>80</v>
      </c>
      <c r="AK88" s="64">
        <f t="shared" si="22"/>
        <v>3.9812504988566411E-4</v>
      </c>
      <c r="AL88" s="41"/>
      <c r="AM88" s="41"/>
      <c r="AN88" s="369">
        <v>53053</v>
      </c>
      <c r="AO88" s="370">
        <v>53143</v>
      </c>
      <c r="AP88" s="372">
        <v>3.9812504988566411E-4</v>
      </c>
    </row>
    <row r="89" spans="36:42" ht="15" customHeight="1" x14ac:dyDescent="0.2">
      <c r="AJ89" s="42">
        <f t="shared" si="23"/>
        <v>81</v>
      </c>
      <c r="AK89" s="64">
        <f t="shared" si="22"/>
        <v>4.4785539388987312E-4</v>
      </c>
      <c r="AL89" s="41"/>
      <c r="AM89" s="41"/>
      <c r="AN89" s="369">
        <v>53144</v>
      </c>
      <c r="AO89" s="370">
        <v>53235</v>
      </c>
      <c r="AP89" s="372">
        <v>4.4785539388987312E-4</v>
      </c>
    </row>
    <row r="90" spans="36:42" ht="15" customHeight="1" x14ac:dyDescent="0.2">
      <c r="AJ90" s="42">
        <f t="shared" si="23"/>
        <v>82</v>
      </c>
      <c r="AK90" s="64">
        <f t="shared" si="22"/>
        <v>4.9455330641955456E-4</v>
      </c>
      <c r="AL90" s="41"/>
      <c r="AM90" s="41"/>
      <c r="AN90" s="369">
        <v>53236</v>
      </c>
      <c r="AO90" s="370">
        <v>53327</v>
      </c>
      <c r="AP90" s="372">
        <v>4.9455330641955456E-4</v>
      </c>
    </row>
    <row r="91" spans="36:42" ht="15" customHeight="1" x14ac:dyDescent="0.2">
      <c r="AJ91" s="42">
        <f t="shared" si="23"/>
        <v>83</v>
      </c>
      <c r="AK91" s="64">
        <f t="shared" si="22"/>
        <v>5.4822100180414363E-4</v>
      </c>
      <c r="AL91" s="41"/>
      <c r="AM91" s="41"/>
      <c r="AN91" s="369">
        <v>53328</v>
      </c>
      <c r="AO91" s="370">
        <v>53417</v>
      </c>
      <c r="AP91" s="372">
        <v>5.4822100180414363E-4</v>
      </c>
    </row>
    <row r="92" spans="36:42" ht="15" customHeight="1" x14ac:dyDescent="0.2">
      <c r="AJ92" s="42">
        <f t="shared" si="23"/>
        <v>84</v>
      </c>
      <c r="AK92" s="64">
        <f t="shared" si="22"/>
        <v>5.9573151436887362E-4</v>
      </c>
      <c r="AL92" s="41"/>
      <c r="AM92" s="41"/>
      <c r="AN92" s="369">
        <v>53418</v>
      </c>
      <c r="AO92" s="370">
        <v>53508</v>
      </c>
      <c r="AP92" s="372">
        <v>5.9573151436887362E-4</v>
      </c>
    </row>
    <row r="93" spans="36:42" ht="15" customHeight="1" x14ac:dyDescent="0.2">
      <c r="AJ93" s="42">
        <f t="shared" si="23"/>
        <v>85</v>
      </c>
      <c r="AK93" s="64">
        <f t="shared" si="22"/>
        <v>7.0083425544693097E-4</v>
      </c>
      <c r="AL93" s="41"/>
      <c r="AM93" s="41"/>
      <c r="AN93" s="369">
        <v>53509</v>
      </c>
      <c r="AO93" s="370">
        <v>53600</v>
      </c>
      <c r="AP93" s="372">
        <v>7.0083425544693097E-4</v>
      </c>
    </row>
    <row r="94" spans="36:42" ht="15" customHeight="1" x14ac:dyDescent="0.2">
      <c r="AJ94" s="42">
        <f t="shared" si="23"/>
        <v>86</v>
      </c>
      <c r="AK94" s="64">
        <f t="shared" si="22"/>
        <v>8.3558101135292875E-4</v>
      </c>
      <c r="AL94" s="41"/>
      <c r="AM94" s="41"/>
      <c r="AN94" s="369">
        <v>53601</v>
      </c>
      <c r="AO94" s="370">
        <v>53692</v>
      </c>
      <c r="AP94" s="372">
        <v>8.3558101135292875E-4</v>
      </c>
    </row>
    <row r="95" spans="36:42" ht="15" customHeight="1" x14ac:dyDescent="0.2">
      <c r="AJ95" s="42">
        <f t="shared" si="23"/>
        <v>87</v>
      </c>
      <c r="AK95" s="64">
        <f t="shared" si="22"/>
        <v>9.9764490813696906E-4</v>
      </c>
      <c r="AL95" s="41"/>
      <c r="AM95" s="41"/>
      <c r="AN95" s="369">
        <v>53693</v>
      </c>
      <c r="AO95" s="370">
        <v>53782</v>
      </c>
      <c r="AP95" s="372">
        <v>9.9764490813696906E-4</v>
      </c>
    </row>
    <row r="96" spans="36:42" ht="15" customHeight="1" x14ac:dyDescent="0.2">
      <c r="AJ96" s="42">
        <f t="shared" si="23"/>
        <v>88</v>
      </c>
      <c r="AK96" s="64">
        <f t="shared" si="22"/>
        <v>1.1415002024976041E-3</v>
      </c>
      <c r="AL96" s="41"/>
      <c r="AM96" s="41"/>
      <c r="AN96" s="369">
        <v>53783</v>
      </c>
      <c r="AO96" s="370">
        <v>53873</v>
      </c>
      <c r="AP96" s="372">
        <v>1.1415002024976041E-3</v>
      </c>
    </row>
    <row r="97" spans="36:42" ht="15" customHeight="1" x14ac:dyDescent="0.2">
      <c r="AJ97" s="42">
        <f t="shared" si="23"/>
        <v>89</v>
      </c>
      <c r="AK97" s="64">
        <f t="shared" si="22"/>
        <v>1.2215213557139099E-3</v>
      </c>
      <c r="AL97" s="41"/>
      <c r="AM97" s="41"/>
      <c r="AN97" s="369">
        <v>53874</v>
      </c>
      <c r="AO97" s="370">
        <v>53965</v>
      </c>
      <c r="AP97" s="372">
        <v>1.2215213557139099E-3</v>
      </c>
    </row>
    <row r="98" spans="36:42" ht="15" customHeight="1" x14ac:dyDescent="0.2">
      <c r="AJ98" s="42">
        <f t="shared" si="23"/>
        <v>90</v>
      </c>
      <c r="AK98" s="64">
        <f t="shared" si="22"/>
        <v>1.2280886748306512E-3</v>
      </c>
      <c r="AL98" s="41"/>
      <c r="AM98" s="41"/>
      <c r="AN98" s="369">
        <v>53966</v>
      </c>
      <c r="AO98" s="370">
        <v>54057</v>
      </c>
      <c r="AP98" s="372">
        <v>1.2280886748306512E-3</v>
      </c>
    </row>
    <row r="99" spans="36:42" ht="15" customHeight="1" x14ac:dyDescent="0.2">
      <c r="AJ99" s="42">
        <f t="shared" si="23"/>
        <v>91</v>
      </c>
      <c r="AK99" s="64">
        <f t="shared" si="22"/>
        <v>1.2215213557139099E-3</v>
      </c>
      <c r="AL99" s="41"/>
      <c r="AM99" s="41"/>
      <c r="AN99" s="369">
        <v>54058</v>
      </c>
      <c r="AO99" s="370">
        <v>54148</v>
      </c>
      <c r="AP99" s="372">
        <v>1.2215213557139099E-3</v>
      </c>
    </row>
    <row r="100" spans="36:42" ht="15" customHeight="1" x14ac:dyDescent="0.2">
      <c r="AJ100" s="42">
        <f t="shared" si="23"/>
        <v>92</v>
      </c>
      <c r="AK100" s="64">
        <f t="shared" si="22"/>
        <v>1.2149540365971685E-3</v>
      </c>
      <c r="AL100" s="41"/>
      <c r="AM100" s="41"/>
      <c r="AN100" s="369">
        <v>54149</v>
      </c>
      <c r="AO100" s="370">
        <v>54239</v>
      </c>
      <c r="AP100" s="372">
        <v>1.2149540365971685E-3</v>
      </c>
    </row>
    <row r="101" spans="36:42" ht="15" customHeight="1" x14ac:dyDescent="0.2">
      <c r="AJ101" s="42">
        <f t="shared" si="23"/>
        <v>93</v>
      </c>
      <c r="AK101" s="64">
        <f t="shared" si="22"/>
        <v>1.2215213557139099E-3</v>
      </c>
      <c r="AL101" s="41"/>
      <c r="AM101" s="41"/>
      <c r="AN101" s="369">
        <v>54240</v>
      </c>
      <c r="AO101" s="370">
        <v>54331</v>
      </c>
      <c r="AP101" s="372">
        <v>1.2215213557139099E-3</v>
      </c>
    </row>
    <row r="102" spans="36:42" ht="15" customHeight="1" x14ac:dyDescent="0.2">
      <c r="AJ102" s="42">
        <f t="shared" si="23"/>
        <v>94</v>
      </c>
      <c r="AK102" s="64">
        <f t="shared" si="22"/>
        <v>1.2280886748306512E-3</v>
      </c>
      <c r="AL102" s="41"/>
      <c r="AM102" s="41"/>
      <c r="AN102" s="369">
        <v>54332</v>
      </c>
      <c r="AO102" s="370">
        <v>54423</v>
      </c>
      <c r="AP102" s="372">
        <v>1.2280886748306512E-3</v>
      </c>
    </row>
    <row r="103" spans="36:42" ht="15" customHeight="1" x14ac:dyDescent="0.2">
      <c r="AJ103" s="42">
        <f t="shared" si="23"/>
        <v>95</v>
      </c>
      <c r="AK103" s="64">
        <f t="shared" si="22"/>
        <v>1.2215213557139097E-3</v>
      </c>
      <c r="AL103" s="41"/>
      <c r="AM103" s="41"/>
      <c r="AN103" s="369">
        <v>54424</v>
      </c>
      <c r="AO103" s="370">
        <v>54513</v>
      </c>
      <c r="AP103" s="372">
        <v>1.2215213557139097E-3</v>
      </c>
    </row>
    <row r="104" spans="36:42" ht="15" customHeight="1" x14ac:dyDescent="0.2">
      <c r="AJ104" s="42">
        <f t="shared" si="23"/>
        <v>96</v>
      </c>
      <c r="AK104" s="64">
        <f t="shared" si="22"/>
        <v>1.2149540365971685E-3</v>
      </c>
      <c r="AL104" s="41"/>
      <c r="AM104" s="41"/>
      <c r="AN104" s="369">
        <v>54514</v>
      </c>
      <c r="AO104" s="370">
        <v>54604</v>
      </c>
      <c r="AP104" s="372">
        <v>1.2149540365971685E-3</v>
      </c>
    </row>
    <row r="105" spans="36:42" ht="15" customHeight="1" x14ac:dyDescent="0.2">
      <c r="AJ105" s="42">
        <f t="shared" si="23"/>
        <v>97</v>
      </c>
      <c r="AK105" s="64">
        <f t="shared" si="22"/>
        <v>1.2215213557139099E-3</v>
      </c>
      <c r="AL105" s="41"/>
      <c r="AM105" s="41"/>
      <c r="AN105" s="369">
        <v>54605</v>
      </c>
      <c r="AO105" s="370">
        <v>54696</v>
      </c>
      <c r="AP105" s="372">
        <v>1.2215213557139099E-3</v>
      </c>
    </row>
    <row r="106" spans="36:42" ht="15" customHeight="1" x14ac:dyDescent="0.2">
      <c r="AJ106" s="42">
        <f t="shared" si="23"/>
        <v>98</v>
      </c>
      <c r="AK106" s="64">
        <f t="shared" si="22"/>
        <v>1.2280886748306512E-3</v>
      </c>
      <c r="AL106" s="41"/>
      <c r="AM106" s="41"/>
      <c r="AN106" s="369">
        <v>54697</v>
      </c>
      <c r="AO106" s="370">
        <v>54788</v>
      </c>
      <c r="AP106" s="372">
        <v>1.2280886748306512E-3</v>
      </c>
    </row>
    <row r="107" spans="36:42" ht="15" customHeight="1" x14ac:dyDescent="0.2">
      <c r="AJ107" s="42">
        <f t="shared" si="23"/>
        <v>99</v>
      </c>
      <c r="AK107" s="64">
        <f t="shared" si="22"/>
        <v>1.2215213557139097E-3</v>
      </c>
      <c r="AL107" s="41"/>
      <c r="AM107" s="41"/>
      <c r="AN107" s="369">
        <v>54789</v>
      </c>
      <c r="AO107" s="370">
        <v>54878</v>
      </c>
      <c r="AP107" s="372">
        <v>1.2215213557139097E-3</v>
      </c>
    </row>
    <row r="108" spans="36:42" ht="15" customHeight="1" x14ac:dyDescent="0.2">
      <c r="AJ108" s="42">
        <f t="shared" si="23"/>
        <v>100</v>
      </c>
      <c r="AK108" s="64">
        <f t="shared" si="22"/>
        <v>1.2149540365971685E-3</v>
      </c>
      <c r="AL108" s="41"/>
      <c r="AM108" s="41"/>
      <c r="AN108" s="369">
        <v>54879</v>
      </c>
      <c r="AO108" s="370">
        <v>54969</v>
      </c>
      <c r="AP108" s="372">
        <v>1.2149540365971685E-3</v>
      </c>
    </row>
    <row r="109" spans="36:42" ht="15" customHeight="1" x14ac:dyDescent="0.2">
      <c r="AJ109" s="42">
        <f t="shared" si="23"/>
        <v>101</v>
      </c>
      <c r="AK109" s="64">
        <f t="shared" si="22"/>
        <v>1.2215213557139099E-3</v>
      </c>
      <c r="AL109" s="41"/>
      <c r="AM109" s="41"/>
      <c r="AN109" s="369">
        <v>54970</v>
      </c>
      <c r="AO109" s="370">
        <v>55061</v>
      </c>
      <c r="AP109" s="372">
        <v>1.2215213557139099E-3</v>
      </c>
    </row>
    <row r="110" spans="36:42" ht="15" customHeight="1" x14ac:dyDescent="0.2">
      <c r="AJ110" s="42">
        <f t="shared" si="23"/>
        <v>102</v>
      </c>
      <c r="AK110" s="64">
        <f t="shared" si="22"/>
        <v>1.2280886748306512E-3</v>
      </c>
      <c r="AL110" s="41"/>
      <c r="AM110" s="41"/>
      <c r="AN110" s="369">
        <v>55062</v>
      </c>
      <c r="AO110" s="370">
        <v>55153</v>
      </c>
      <c r="AP110" s="372">
        <v>1.2280886748306512E-3</v>
      </c>
    </row>
    <row r="111" spans="36:42" ht="15" customHeight="1" x14ac:dyDescent="0.2">
      <c r="AJ111" s="42">
        <f t="shared" si="23"/>
        <v>103</v>
      </c>
      <c r="AK111" s="64">
        <f t="shared" si="22"/>
        <v>1.2215213557139097E-3</v>
      </c>
      <c r="AL111" s="41"/>
      <c r="AM111" s="41"/>
      <c r="AN111" s="369">
        <v>55154</v>
      </c>
      <c r="AO111" s="370">
        <v>55243</v>
      </c>
      <c r="AP111" s="372">
        <v>1.2215213557139097E-3</v>
      </c>
    </row>
    <row r="112" spans="36:42" ht="15" customHeight="1" x14ac:dyDescent="0.2">
      <c r="AJ112" s="42">
        <f t="shared" si="23"/>
        <v>104</v>
      </c>
      <c r="AK112" s="64">
        <f t="shared" si="22"/>
        <v>1.2149540365971685E-3</v>
      </c>
      <c r="AL112" s="41"/>
      <c r="AM112" s="41"/>
      <c r="AN112" s="369">
        <v>55244</v>
      </c>
      <c r="AO112" s="370">
        <v>55334</v>
      </c>
      <c r="AP112" s="372">
        <v>1.2149540365971685E-3</v>
      </c>
    </row>
    <row r="113" spans="36:42" ht="15" customHeight="1" x14ac:dyDescent="0.2">
      <c r="AJ113" s="42">
        <f t="shared" si="23"/>
        <v>105</v>
      </c>
      <c r="AK113" s="64">
        <f t="shared" si="22"/>
        <v>1.2215213557139099E-3</v>
      </c>
      <c r="AL113" s="41"/>
      <c r="AM113" s="41"/>
      <c r="AN113" s="369">
        <v>55335</v>
      </c>
      <c r="AO113" s="370">
        <v>55426</v>
      </c>
      <c r="AP113" s="372">
        <v>1.2215213557139099E-3</v>
      </c>
    </row>
    <row r="114" spans="36:42" ht="15" customHeight="1" x14ac:dyDescent="0.2">
      <c r="AJ114" s="42">
        <f t="shared" si="23"/>
        <v>106</v>
      </c>
      <c r="AK114" s="64">
        <f t="shared" si="22"/>
        <v>1.2280886748306512E-3</v>
      </c>
      <c r="AL114" s="41"/>
      <c r="AM114" s="41"/>
      <c r="AN114" s="369">
        <v>55427</v>
      </c>
      <c r="AO114" s="370">
        <v>55518</v>
      </c>
      <c r="AP114" s="372">
        <v>1.2280886748306512E-3</v>
      </c>
    </row>
    <row r="115" spans="36:42" ht="15" customHeight="1" x14ac:dyDescent="0.2">
      <c r="AJ115" s="42">
        <f t="shared" si="23"/>
        <v>107</v>
      </c>
      <c r="AK115" s="64">
        <f t="shared" si="22"/>
        <v>1.2215213557139099E-3</v>
      </c>
      <c r="AL115" s="41"/>
      <c r="AM115" s="41"/>
      <c r="AN115" s="369">
        <v>55519</v>
      </c>
      <c r="AO115" s="370">
        <v>55609</v>
      </c>
      <c r="AP115" s="372">
        <v>1.2215213557139099E-3</v>
      </c>
    </row>
    <row r="116" spans="36:42" ht="15" customHeight="1" x14ac:dyDescent="0.2">
      <c r="AJ116" s="42">
        <f t="shared" si="23"/>
        <v>108</v>
      </c>
      <c r="AK116" s="64">
        <f t="shared" si="22"/>
        <v>1.2149540365971685E-3</v>
      </c>
      <c r="AL116" s="41"/>
      <c r="AM116" s="41"/>
      <c r="AN116" s="369">
        <v>55610</v>
      </c>
      <c r="AO116" s="370">
        <v>55700</v>
      </c>
      <c r="AP116" s="372">
        <v>1.2149540365971685E-3</v>
      </c>
    </row>
    <row r="117" spans="36:42" ht="15" customHeight="1" x14ac:dyDescent="0.2">
      <c r="AJ117" s="42">
        <f t="shared" si="23"/>
        <v>109</v>
      </c>
      <c r="AK117" s="64">
        <f t="shared" si="22"/>
        <v>1.2215213557139099E-3</v>
      </c>
      <c r="AL117" s="41"/>
      <c r="AM117" s="41"/>
      <c r="AN117" s="369">
        <v>55701</v>
      </c>
      <c r="AO117" s="370">
        <v>55792</v>
      </c>
      <c r="AP117" s="372">
        <v>1.2215213557139099E-3</v>
      </c>
    </row>
    <row r="118" spans="36:42" ht="15" customHeight="1" x14ac:dyDescent="0.2">
      <c r="AJ118" s="42">
        <f t="shared" si="23"/>
        <v>110</v>
      </c>
      <c r="AK118" s="64">
        <f t="shared" si="22"/>
        <v>1.2280886748306512E-3</v>
      </c>
      <c r="AL118" s="41"/>
      <c r="AM118" s="41"/>
      <c r="AN118" s="369">
        <v>55793</v>
      </c>
      <c r="AO118" s="370">
        <v>55884</v>
      </c>
      <c r="AP118" s="372">
        <v>1.2280886748306512E-3</v>
      </c>
    </row>
    <row r="119" spans="36:42" ht="15" customHeight="1" x14ac:dyDescent="0.2">
      <c r="AJ119" s="42">
        <f t="shared" si="23"/>
        <v>111</v>
      </c>
      <c r="AK119" s="64">
        <f t="shared" si="22"/>
        <v>1.2215213557139097E-3</v>
      </c>
      <c r="AL119" s="41"/>
      <c r="AM119" s="41"/>
      <c r="AN119" s="369">
        <v>55885</v>
      </c>
      <c r="AO119" s="370">
        <v>55974</v>
      </c>
      <c r="AP119" s="372">
        <v>1.2215213557139097E-3</v>
      </c>
    </row>
    <row r="120" spans="36:42" ht="15" customHeight="1" x14ac:dyDescent="0.2">
      <c r="AJ120" s="42">
        <f t="shared" si="23"/>
        <v>112</v>
      </c>
      <c r="AK120" s="64">
        <f t="shared" si="22"/>
        <v>1.2149540365971685E-3</v>
      </c>
      <c r="AL120" s="41"/>
      <c r="AM120" s="41"/>
      <c r="AN120" s="369">
        <v>55975</v>
      </c>
      <c r="AO120" s="370">
        <v>56065</v>
      </c>
      <c r="AP120" s="372">
        <v>1.2149540365971685E-3</v>
      </c>
    </row>
    <row r="121" spans="36:42" ht="15" customHeight="1" x14ac:dyDescent="0.2">
      <c r="AJ121" s="42">
        <f t="shared" si="23"/>
        <v>113</v>
      </c>
      <c r="AK121" s="64">
        <f t="shared" si="22"/>
        <v>1.2215213557139099E-3</v>
      </c>
      <c r="AL121" s="41"/>
      <c r="AM121" s="41"/>
      <c r="AN121" s="369">
        <v>56066</v>
      </c>
      <c r="AO121" s="370">
        <v>56157</v>
      </c>
      <c r="AP121" s="372">
        <v>1.2215213557139099E-3</v>
      </c>
    </row>
    <row r="122" spans="36:42" ht="15" customHeight="1" x14ac:dyDescent="0.2">
      <c r="AJ122" s="42">
        <f t="shared" si="23"/>
        <v>114</v>
      </c>
      <c r="AK122" s="64">
        <f t="shared" si="22"/>
        <v>1.2280886748306512E-3</v>
      </c>
      <c r="AL122" s="41"/>
      <c r="AM122" s="41"/>
      <c r="AN122" s="369">
        <v>56158</v>
      </c>
      <c r="AO122" s="370">
        <v>56249</v>
      </c>
      <c r="AP122" s="372">
        <v>1.2280886748306512E-3</v>
      </c>
    </row>
    <row r="123" spans="36:42" ht="15" customHeight="1" x14ac:dyDescent="0.2">
      <c r="AJ123" s="42">
        <f t="shared" si="23"/>
        <v>115</v>
      </c>
      <c r="AK123" s="64">
        <f t="shared" si="22"/>
        <v>1.2215213557139097E-3</v>
      </c>
      <c r="AL123" s="41"/>
      <c r="AM123" s="41"/>
      <c r="AN123" s="369">
        <v>56250</v>
      </c>
      <c r="AO123" s="370">
        <v>56339</v>
      </c>
      <c r="AP123" s="372">
        <v>1.2215213557139097E-3</v>
      </c>
    </row>
    <row r="124" spans="36:42" ht="15" customHeight="1" x14ac:dyDescent="0.2">
      <c r="AJ124" s="42">
        <f t="shared" si="23"/>
        <v>116</v>
      </c>
      <c r="AK124" s="64">
        <f t="shared" si="22"/>
        <v>1.2149540365971685E-3</v>
      </c>
      <c r="AL124" s="41"/>
      <c r="AM124" s="41"/>
      <c r="AN124" s="369">
        <v>56340</v>
      </c>
      <c r="AO124" s="370">
        <v>56430</v>
      </c>
      <c r="AP124" s="372">
        <v>1.2149540365971685E-3</v>
      </c>
    </row>
    <row r="125" spans="36:42" ht="15" customHeight="1" x14ac:dyDescent="0.2">
      <c r="AJ125" s="42">
        <f t="shared" si="23"/>
        <v>117</v>
      </c>
      <c r="AK125" s="64">
        <f t="shared" si="22"/>
        <v>1.2215213557139099E-3</v>
      </c>
      <c r="AL125" s="41"/>
      <c r="AM125" s="41"/>
      <c r="AN125" s="369">
        <v>56431</v>
      </c>
      <c r="AO125" s="370">
        <v>56522</v>
      </c>
      <c r="AP125" s="372">
        <v>1.2215213557139099E-3</v>
      </c>
    </row>
    <row r="126" spans="36:42" ht="15" customHeight="1" x14ac:dyDescent="0.2">
      <c r="AJ126" s="42">
        <f t="shared" si="23"/>
        <v>118</v>
      </c>
      <c r="AK126" s="64">
        <f t="shared" si="22"/>
        <v>1.2280886748306512E-3</v>
      </c>
      <c r="AL126" s="41"/>
      <c r="AM126" s="41"/>
      <c r="AN126" s="369">
        <v>56523</v>
      </c>
      <c r="AO126" s="370">
        <v>56614</v>
      </c>
      <c r="AP126" s="372">
        <v>1.2280886748306512E-3</v>
      </c>
    </row>
    <row r="127" spans="36:42" ht="15" customHeight="1" x14ac:dyDescent="0.2">
      <c r="AJ127" s="42">
        <f t="shared" si="23"/>
        <v>119</v>
      </c>
      <c r="AK127" s="64">
        <f t="shared" si="22"/>
        <v>1.2215213557139097E-3</v>
      </c>
      <c r="AL127" s="41"/>
      <c r="AM127" s="41"/>
      <c r="AN127" s="369">
        <v>56615</v>
      </c>
      <c r="AO127" s="370">
        <v>56704</v>
      </c>
      <c r="AP127" s="372">
        <v>1.2215213557139097E-3</v>
      </c>
    </row>
    <row r="128" spans="36:42" ht="15" customHeight="1" x14ac:dyDescent="0.2">
      <c r="AJ128" s="42">
        <f t="shared" si="23"/>
        <v>120</v>
      </c>
      <c r="AK128" s="64">
        <f t="shared" si="22"/>
        <v>1.2149540365971685E-3</v>
      </c>
      <c r="AL128" s="41"/>
      <c r="AM128" s="41"/>
      <c r="AN128" s="369">
        <v>56705</v>
      </c>
      <c r="AO128" s="370">
        <v>56795</v>
      </c>
      <c r="AP128" s="372">
        <v>1.2149540365971685E-3</v>
      </c>
    </row>
    <row r="129" spans="36:42" ht="15" customHeight="1" x14ac:dyDescent="0.2">
      <c r="AJ129" s="42">
        <f t="shared" si="23"/>
        <v>121</v>
      </c>
      <c r="AK129" s="64">
        <f t="shared" si="22"/>
        <v>1.2215213557139099E-3</v>
      </c>
      <c r="AL129" s="41"/>
      <c r="AM129" s="41"/>
      <c r="AN129" s="369">
        <v>56796</v>
      </c>
      <c r="AO129" s="370">
        <v>56887</v>
      </c>
      <c r="AP129" s="372">
        <v>1.2215213557139099E-3</v>
      </c>
    </row>
    <row r="130" spans="36:42" ht="15" customHeight="1" x14ac:dyDescent="0.2">
      <c r="AJ130" s="42">
        <f t="shared" si="23"/>
        <v>122</v>
      </c>
      <c r="AK130" s="64">
        <f t="shared" si="22"/>
        <v>1.2280886748306512E-3</v>
      </c>
      <c r="AL130" s="41"/>
      <c r="AM130" s="41"/>
      <c r="AN130" s="369">
        <v>56888</v>
      </c>
      <c r="AO130" s="370">
        <v>56979</v>
      </c>
      <c r="AP130" s="372">
        <v>1.2280886748306512E-3</v>
      </c>
    </row>
    <row r="131" spans="36:42" ht="15" customHeight="1" x14ac:dyDescent="0.2">
      <c r="AJ131" s="42">
        <f t="shared" si="23"/>
        <v>123</v>
      </c>
      <c r="AK131" s="64">
        <f t="shared" si="22"/>
        <v>1.2215213557139099E-3</v>
      </c>
      <c r="AL131" s="41"/>
      <c r="AM131" s="41"/>
      <c r="AN131" s="369">
        <v>56980</v>
      </c>
      <c r="AO131" s="370">
        <v>57070</v>
      </c>
      <c r="AP131" s="372">
        <v>1.2215213557139099E-3</v>
      </c>
    </row>
    <row r="132" spans="36:42" ht="15" customHeight="1" x14ac:dyDescent="0.2">
      <c r="AJ132" s="42">
        <f t="shared" si="23"/>
        <v>124</v>
      </c>
      <c r="AK132" s="64">
        <f t="shared" si="22"/>
        <v>1.2149540365971685E-3</v>
      </c>
      <c r="AL132" s="41"/>
      <c r="AM132" s="41"/>
      <c r="AN132" s="369">
        <v>57071</v>
      </c>
      <c r="AO132" s="370">
        <v>57161</v>
      </c>
      <c r="AP132" s="372">
        <v>1.2149540365971685E-3</v>
      </c>
    </row>
    <row r="133" spans="36:42" ht="15" customHeight="1" x14ac:dyDescent="0.2">
      <c r="AJ133" s="42">
        <f t="shared" si="23"/>
        <v>125</v>
      </c>
      <c r="AK133" s="64">
        <f t="shared" si="22"/>
        <v>1.2215213557139099E-3</v>
      </c>
      <c r="AL133" s="41"/>
      <c r="AM133" s="41"/>
      <c r="AN133" s="369">
        <v>57162</v>
      </c>
      <c r="AO133" s="370">
        <v>57253</v>
      </c>
      <c r="AP133" s="372">
        <v>1.2215213557139099E-3</v>
      </c>
    </row>
    <row r="134" spans="36:42" ht="15" customHeight="1" x14ac:dyDescent="0.2">
      <c r="AJ134" s="42">
        <f t="shared" si="23"/>
        <v>126</v>
      </c>
      <c r="AK134" s="64">
        <f t="shared" si="22"/>
        <v>1.2280886748306512E-3</v>
      </c>
      <c r="AL134" s="41"/>
      <c r="AM134" s="41"/>
      <c r="AN134" s="369">
        <v>57254</v>
      </c>
      <c r="AO134" s="370">
        <v>57345</v>
      </c>
      <c r="AP134" s="372">
        <v>1.2280886748306512E-3</v>
      </c>
    </row>
    <row r="135" spans="36:42" ht="15" customHeight="1" x14ac:dyDescent="0.2">
      <c r="AJ135" s="42">
        <f t="shared" si="23"/>
        <v>127</v>
      </c>
      <c r="AK135" s="64">
        <f t="shared" si="22"/>
        <v>1.2215213557139097E-3</v>
      </c>
      <c r="AL135" s="41"/>
      <c r="AM135" s="41"/>
      <c r="AN135" s="369">
        <v>57346</v>
      </c>
      <c r="AO135" s="370">
        <v>57435</v>
      </c>
      <c r="AP135" s="372">
        <v>1.2215213557139097E-3</v>
      </c>
    </row>
    <row r="136" spans="36:42" ht="15" customHeight="1" x14ac:dyDescent="0.2">
      <c r="AJ136" s="42">
        <f t="shared" si="23"/>
        <v>128</v>
      </c>
      <c r="AK136" s="64">
        <f t="shared" si="22"/>
        <v>1.2149540365971685E-3</v>
      </c>
      <c r="AL136" s="41"/>
      <c r="AM136" s="41"/>
      <c r="AN136" s="369">
        <v>57436</v>
      </c>
      <c r="AO136" s="370">
        <v>57526</v>
      </c>
      <c r="AP136" s="372">
        <v>1.2149540365971685E-3</v>
      </c>
    </row>
    <row r="137" spans="36:42" ht="15" customHeight="1" x14ac:dyDescent="0.2">
      <c r="AJ137" s="42">
        <f t="shared" si="23"/>
        <v>129</v>
      </c>
      <c r="AK137" s="64">
        <f t="shared" si="22"/>
        <v>1.2215213557139099E-3</v>
      </c>
      <c r="AL137" s="41"/>
      <c r="AM137" s="41"/>
      <c r="AN137" s="369">
        <v>57527</v>
      </c>
      <c r="AO137" s="370">
        <v>57618</v>
      </c>
      <c r="AP137" s="372">
        <v>1.2215213557139099E-3</v>
      </c>
    </row>
    <row r="138" spans="36:42" ht="15" customHeight="1" x14ac:dyDescent="0.2">
      <c r="AJ138" s="42">
        <f t="shared" si="23"/>
        <v>130</v>
      </c>
      <c r="AK138" s="64">
        <f t="shared" ref="AK138:AK201" si="24">AP138</f>
        <v>1.2280886748306512E-3</v>
      </c>
      <c r="AL138" s="41"/>
      <c r="AM138" s="41"/>
      <c r="AN138" s="369">
        <v>57619</v>
      </c>
      <c r="AO138" s="370">
        <v>57710</v>
      </c>
      <c r="AP138" s="372">
        <v>1.2280886748306512E-3</v>
      </c>
    </row>
    <row r="139" spans="36:42" ht="15" customHeight="1" x14ac:dyDescent="0.2">
      <c r="AJ139" s="42">
        <f t="shared" ref="AJ139:AJ202" si="25">AJ138+1</f>
        <v>131</v>
      </c>
      <c r="AK139" s="64">
        <f t="shared" si="24"/>
        <v>1.2215213557139097E-3</v>
      </c>
      <c r="AL139" s="41"/>
      <c r="AM139" s="41"/>
      <c r="AN139" s="369">
        <v>57711</v>
      </c>
      <c r="AO139" s="370">
        <v>57800</v>
      </c>
      <c r="AP139" s="372">
        <v>1.2215213557139097E-3</v>
      </c>
    </row>
    <row r="140" spans="36:42" ht="15" customHeight="1" x14ac:dyDescent="0.2">
      <c r="AJ140" s="42">
        <f t="shared" si="25"/>
        <v>132</v>
      </c>
      <c r="AK140" s="64">
        <f t="shared" si="24"/>
        <v>1.2149540365971685E-3</v>
      </c>
      <c r="AL140" s="41"/>
      <c r="AM140" s="41"/>
      <c r="AN140" s="369">
        <v>57801</v>
      </c>
      <c r="AO140" s="370">
        <v>57891</v>
      </c>
      <c r="AP140" s="372">
        <v>1.2149540365971685E-3</v>
      </c>
    </row>
    <row r="141" spans="36:42" ht="15" customHeight="1" x14ac:dyDescent="0.2">
      <c r="AJ141" s="42">
        <f t="shared" si="25"/>
        <v>133</v>
      </c>
      <c r="AK141" s="64">
        <f t="shared" si="24"/>
        <v>1.2215213557139099E-3</v>
      </c>
      <c r="AL141" s="41"/>
      <c r="AM141" s="41"/>
      <c r="AN141" s="369">
        <v>57892</v>
      </c>
      <c r="AO141" s="370">
        <v>57983</v>
      </c>
      <c r="AP141" s="372">
        <v>1.2215213557139099E-3</v>
      </c>
    </row>
    <row r="142" spans="36:42" ht="15" customHeight="1" x14ac:dyDescent="0.2">
      <c r="AJ142" s="42">
        <f t="shared" si="25"/>
        <v>134</v>
      </c>
      <c r="AK142" s="64">
        <f t="shared" si="24"/>
        <v>1.2280886748306512E-3</v>
      </c>
      <c r="AL142" s="41"/>
      <c r="AM142" s="41"/>
      <c r="AN142" s="369">
        <v>57984</v>
      </c>
      <c r="AO142" s="370">
        <v>58075</v>
      </c>
      <c r="AP142" s="372">
        <v>1.2280886748306512E-3</v>
      </c>
    </row>
    <row r="143" spans="36:42" ht="15" customHeight="1" x14ac:dyDescent="0.2">
      <c r="AJ143" s="42">
        <f t="shared" si="25"/>
        <v>135</v>
      </c>
      <c r="AK143" s="64">
        <f t="shared" si="24"/>
        <v>1.2215213557139097E-3</v>
      </c>
      <c r="AL143" s="41"/>
      <c r="AM143" s="41"/>
      <c r="AN143" s="369">
        <v>58076</v>
      </c>
      <c r="AO143" s="370">
        <v>58165</v>
      </c>
      <c r="AP143" s="372">
        <v>1.2215213557139097E-3</v>
      </c>
    </row>
    <row r="144" spans="36:42" ht="15" customHeight="1" x14ac:dyDescent="0.2">
      <c r="AJ144" s="42">
        <f t="shared" si="25"/>
        <v>136</v>
      </c>
      <c r="AK144" s="64">
        <f t="shared" si="24"/>
        <v>1.2149540365971685E-3</v>
      </c>
      <c r="AL144" s="41"/>
      <c r="AM144" s="41"/>
      <c r="AN144" s="369">
        <v>58166</v>
      </c>
      <c r="AO144" s="370">
        <v>58256</v>
      </c>
      <c r="AP144" s="372">
        <v>1.2149540365971685E-3</v>
      </c>
    </row>
    <row r="145" spans="36:42" ht="15" customHeight="1" x14ac:dyDescent="0.2">
      <c r="AJ145" s="42">
        <f t="shared" si="25"/>
        <v>137</v>
      </c>
      <c r="AK145" s="64">
        <f t="shared" si="24"/>
        <v>1.2215213557139099E-3</v>
      </c>
      <c r="AL145" s="41"/>
      <c r="AM145" s="41"/>
      <c r="AN145" s="369">
        <v>58257</v>
      </c>
      <c r="AO145" s="370">
        <v>58348</v>
      </c>
      <c r="AP145" s="372">
        <v>1.2215213557139099E-3</v>
      </c>
    </row>
    <row r="146" spans="36:42" ht="15" customHeight="1" x14ac:dyDescent="0.2">
      <c r="AJ146" s="42">
        <f t="shared" si="25"/>
        <v>138</v>
      </c>
      <c r="AK146" s="64">
        <f t="shared" si="24"/>
        <v>1.2280886748306512E-3</v>
      </c>
      <c r="AL146" s="41"/>
      <c r="AM146" s="41"/>
      <c r="AN146" s="369">
        <v>58349</v>
      </c>
      <c r="AO146" s="370">
        <v>58440</v>
      </c>
      <c r="AP146" s="372">
        <v>1.2280886748306512E-3</v>
      </c>
    </row>
    <row r="147" spans="36:42" ht="15" customHeight="1" x14ac:dyDescent="0.2">
      <c r="AJ147" s="42">
        <f t="shared" si="25"/>
        <v>139</v>
      </c>
      <c r="AK147" s="64">
        <f t="shared" si="24"/>
        <v>1.2215213557139099E-3</v>
      </c>
      <c r="AL147" s="41"/>
      <c r="AM147" s="41"/>
      <c r="AN147" s="369">
        <v>58441</v>
      </c>
      <c r="AO147" s="370">
        <v>58531</v>
      </c>
      <c r="AP147" s="372">
        <v>1.2215213557139099E-3</v>
      </c>
    </row>
    <row r="148" spans="36:42" ht="15" customHeight="1" x14ac:dyDescent="0.2">
      <c r="AJ148" s="42">
        <f t="shared" si="25"/>
        <v>140</v>
      </c>
      <c r="AK148" s="64">
        <f t="shared" si="24"/>
        <v>1.2149540365971685E-3</v>
      </c>
      <c r="AL148" s="41"/>
      <c r="AM148" s="41"/>
      <c r="AN148" s="369">
        <v>58532</v>
      </c>
      <c r="AO148" s="370">
        <v>58622</v>
      </c>
      <c r="AP148" s="372">
        <v>1.2149540365971685E-3</v>
      </c>
    </row>
    <row r="149" spans="36:42" ht="15" customHeight="1" x14ac:dyDescent="0.2">
      <c r="AJ149" s="42">
        <f t="shared" si="25"/>
        <v>141</v>
      </c>
      <c r="AK149" s="64">
        <f t="shared" si="24"/>
        <v>1.0643128655332445E-3</v>
      </c>
      <c r="AL149" s="41"/>
      <c r="AM149" s="41"/>
      <c r="AN149" s="369">
        <v>58623</v>
      </c>
      <c r="AO149" s="370">
        <v>58714</v>
      </c>
      <c r="AP149" s="372">
        <v>1.0643128655332445E-3</v>
      </c>
    </row>
    <row r="150" spans="36:42" ht="15" customHeight="1" x14ac:dyDescent="0.2">
      <c r="AJ150" s="42">
        <f t="shared" si="25"/>
        <v>142</v>
      </c>
      <c r="AK150" s="64">
        <f t="shared" si="24"/>
        <v>8.0230709738254369E-4</v>
      </c>
      <c r="AL150" s="41"/>
      <c r="AM150" s="41"/>
      <c r="AN150" s="369">
        <v>58715</v>
      </c>
      <c r="AO150" s="370">
        <v>58806</v>
      </c>
      <c r="AP150" s="372">
        <v>8.0230709738254369E-4</v>
      </c>
    </row>
    <row r="151" spans="36:42" ht="15" customHeight="1" x14ac:dyDescent="0.2">
      <c r="AJ151" s="42">
        <f t="shared" si="25"/>
        <v>143</v>
      </c>
      <c r="AK151" s="64">
        <f t="shared" si="24"/>
        <v>4.5761568382209446E-4</v>
      </c>
      <c r="AL151" s="41"/>
      <c r="AM151" s="41"/>
      <c r="AN151" s="369">
        <v>58807</v>
      </c>
      <c r="AO151" s="370">
        <v>58896</v>
      </c>
      <c r="AP151" s="372">
        <v>4.5761568382209446E-4</v>
      </c>
    </row>
    <row r="152" spans="36:42" ht="15" customHeight="1" x14ac:dyDescent="0.2">
      <c r="AJ152" s="42">
        <f t="shared" si="25"/>
        <v>144</v>
      </c>
      <c r="AK152" s="64">
        <f t="shared" si="24"/>
        <v>1.5014364791220223E-4</v>
      </c>
      <c r="AL152" s="41"/>
      <c r="AM152" s="41"/>
      <c r="AN152" s="374">
        <v>58897</v>
      </c>
      <c r="AO152" s="375">
        <v>58987</v>
      </c>
      <c r="AP152" s="373">
        <v>1.5014364791220223E-4</v>
      </c>
    </row>
    <row r="153" spans="36:42" ht="15" customHeight="1" x14ac:dyDescent="0.2">
      <c r="AJ153" s="42">
        <f t="shared" si="25"/>
        <v>145</v>
      </c>
      <c r="AK153" s="64">
        <f t="shared" si="24"/>
        <v>0</v>
      </c>
      <c r="AL153" s="41"/>
      <c r="AM153" s="41"/>
      <c r="AN153" s="41"/>
      <c r="AO153" s="19"/>
      <c r="AP153" s="17"/>
    </row>
    <row r="154" spans="36:42" ht="15" customHeight="1" x14ac:dyDescent="0.2">
      <c r="AJ154" s="42">
        <f t="shared" si="25"/>
        <v>146</v>
      </c>
      <c r="AK154" s="64">
        <f t="shared" si="24"/>
        <v>0</v>
      </c>
      <c r="AL154" s="41"/>
      <c r="AM154" s="41"/>
      <c r="AN154" s="41"/>
      <c r="AO154" s="19"/>
      <c r="AP154" s="17"/>
    </row>
    <row r="155" spans="36:42" ht="15" customHeight="1" x14ac:dyDescent="0.2">
      <c r="AJ155" s="42">
        <f t="shared" si="25"/>
        <v>147</v>
      </c>
      <c r="AK155" s="64">
        <f t="shared" si="24"/>
        <v>0</v>
      </c>
      <c r="AL155" s="41"/>
      <c r="AM155" s="41"/>
      <c r="AN155" s="41"/>
      <c r="AO155" s="19"/>
      <c r="AP155" s="17"/>
    </row>
    <row r="156" spans="36:42" ht="15" customHeight="1" x14ac:dyDescent="0.2">
      <c r="AJ156" s="42">
        <f t="shared" si="25"/>
        <v>148</v>
      </c>
      <c r="AK156" s="64">
        <f t="shared" si="24"/>
        <v>0</v>
      </c>
      <c r="AL156" s="41"/>
      <c r="AM156" s="41"/>
      <c r="AN156" s="41"/>
      <c r="AO156" s="19"/>
      <c r="AP156" s="17"/>
    </row>
    <row r="157" spans="36:42" ht="15" customHeight="1" x14ac:dyDescent="0.2">
      <c r="AJ157" s="42">
        <f t="shared" si="25"/>
        <v>149</v>
      </c>
      <c r="AK157" s="64">
        <f t="shared" si="24"/>
        <v>0</v>
      </c>
      <c r="AL157" s="41"/>
      <c r="AM157" s="41"/>
      <c r="AN157" s="41"/>
      <c r="AO157" s="19"/>
      <c r="AP157" s="17"/>
    </row>
    <row r="158" spans="36:42" ht="15" customHeight="1" x14ac:dyDescent="0.2">
      <c r="AJ158" s="42">
        <f t="shared" si="25"/>
        <v>150</v>
      </c>
      <c r="AK158" s="64">
        <f t="shared" si="24"/>
        <v>0</v>
      </c>
      <c r="AL158" s="41"/>
      <c r="AM158" s="41"/>
      <c r="AN158" s="41"/>
      <c r="AO158" s="19"/>
      <c r="AP158" s="17"/>
    </row>
    <row r="159" spans="36:42" ht="15" customHeight="1" x14ac:dyDescent="0.2">
      <c r="AJ159" s="42">
        <f t="shared" si="25"/>
        <v>151</v>
      </c>
      <c r="AK159" s="64">
        <f t="shared" si="24"/>
        <v>0</v>
      </c>
      <c r="AL159" s="41"/>
      <c r="AM159" s="41"/>
      <c r="AN159" s="41"/>
      <c r="AO159" s="19"/>
      <c r="AP159" s="17"/>
    </row>
    <row r="160" spans="36:42" ht="15" customHeight="1" x14ac:dyDescent="0.2">
      <c r="AJ160" s="42">
        <f t="shared" si="25"/>
        <v>152</v>
      </c>
      <c r="AK160" s="64">
        <f t="shared" si="24"/>
        <v>0</v>
      </c>
      <c r="AL160" s="41"/>
      <c r="AM160" s="41"/>
      <c r="AN160" s="41"/>
      <c r="AO160" s="19"/>
      <c r="AP160" s="17"/>
    </row>
    <row r="161" spans="36:37" ht="15" customHeight="1" x14ac:dyDescent="0.2">
      <c r="AJ161" s="42">
        <f t="shared" si="25"/>
        <v>153</v>
      </c>
      <c r="AK161" s="64">
        <f t="shared" si="24"/>
        <v>0</v>
      </c>
    </row>
    <row r="162" spans="36:37" ht="15" customHeight="1" x14ac:dyDescent="0.2">
      <c r="AJ162" s="42">
        <f t="shared" si="25"/>
        <v>154</v>
      </c>
      <c r="AK162" s="64">
        <f t="shared" si="24"/>
        <v>0</v>
      </c>
    </row>
    <row r="163" spans="36:37" ht="15" customHeight="1" x14ac:dyDescent="0.2">
      <c r="AJ163" s="42">
        <f t="shared" si="25"/>
        <v>155</v>
      </c>
      <c r="AK163" s="64">
        <f t="shared" si="24"/>
        <v>0</v>
      </c>
    </row>
    <row r="164" spans="36:37" ht="15" customHeight="1" x14ac:dyDescent="0.2">
      <c r="AJ164" s="42">
        <f t="shared" si="25"/>
        <v>156</v>
      </c>
      <c r="AK164" s="64">
        <f t="shared" si="24"/>
        <v>0</v>
      </c>
    </row>
    <row r="165" spans="36:37" ht="15" customHeight="1" x14ac:dyDescent="0.2">
      <c r="AJ165" s="42">
        <f t="shared" si="25"/>
        <v>157</v>
      </c>
      <c r="AK165" s="64">
        <f t="shared" si="24"/>
        <v>0</v>
      </c>
    </row>
    <row r="166" spans="36:37" ht="15" customHeight="1" x14ac:dyDescent="0.2">
      <c r="AJ166" s="42">
        <f t="shared" si="25"/>
        <v>158</v>
      </c>
      <c r="AK166" s="64">
        <f t="shared" si="24"/>
        <v>0</v>
      </c>
    </row>
    <row r="167" spans="36:37" ht="15" customHeight="1" x14ac:dyDescent="0.2">
      <c r="AJ167" s="42">
        <f t="shared" si="25"/>
        <v>159</v>
      </c>
      <c r="AK167" s="64">
        <f t="shared" si="24"/>
        <v>0</v>
      </c>
    </row>
    <row r="168" spans="36:37" ht="15" customHeight="1" x14ac:dyDescent="0.2">
      <c r="AJ168" s="42">
        <f t="shared" si="25"/>
        <v>160</v>
      </c>
      <c r="AK168" s="64">
        <f t="shared" si="24"/>
        <v>0</v>
      </c>
    </row>
    <row r="169" spans="36:37" ht="15" customHeight="1" x14ac:dyDescent="0.2">
      <c r="AJ169" s="42">
        <f t="shared" si="25"/>
        <v>161</v>
      </c>
      <c r="AK169" s="64">
        <f t="shared" si="24"/>
        <v>0</v>
      </c>
    </row>
    <row r="170" spans="36:37" ht="15" customHeight="1" x14ac:dyDescent="0.2">
      <c r="AJ170" s="42">
        <f t="shared" si="25"/>
        <v>162</v>
      </c>
      <c r="AK170" s="64">
        <f t="shared" si="24"/>
        <v>0</v>
      </c>
    </row>
    <row r="171" spans="36:37" ht="15" customHeight="1" x14ac:dyDescent="0.2">
      <c r="AJ171" s="42">
        <f t="shared" si="25"/>
        <v>163</v>
      </c>
      <c r="AK171" s="64">
        <f t="shared" si="24"/>
        <v>0</v>
      </c>
    </row>
    <row r="172" spans="36:37" ht="15" customHeight="1" x14ac:dyDescent="0.2">
      <c r="AJ172" s="42">
        <f t="shared" si="25"/>
        <v>164</v>
      </c>
      <c r="AK172" s="64">
        <f t="shared" si="24"/>
        <v>0</v>
      </c>
    </row>
    <row r="173" spans="36:37" ht="15" customHeight="1" x14ac:dyDescent="0.2">
      <c r="AJ173" s="42">
        <f t="shared" si="25"/>
        <v>165</v>
      </c>
      <c r="AK173" s="64">
        <f t="shared" si="24"/>
        <v>0</v>
      </c>
    </row>
    <row r="174" spans="36:37" ht="15" customHeight="1" x14ac:dyDescent="0.2">
      <c r="AJ174" s="42">
        <f t="shared" si="25"/>
        <v>166</v>
      </c>
      <c r="AK174" s="64">
        <f t="shared" si="24"/>
        <v>0</v>
      </c>
    </row>
    <row r="175" spans="36:37" ht="15" customHeight="1" x14ac:dyDescent="0.2">
      <c r="AJ175" s="42">
        <f t="shared" si="25"/>
        <v>167</v>
      </c>
      <c r="AK175" s="64">
        <f t="shared" si="24"/>
        <v>0</v>
      </c>
    </row>
    <row r="176" spans="36:37" ht="15" customHeight="1" x14ac:dyDescent="0.2">
      <c r="AJ176" s="42">
        <f t="shared" si="25"/>
        <v>168</v>
      </c>
      <c r="AK176" s="64">
        <f t="shared" si="24"/>
        <v>0</v>
      </c>
    </row>
    <row r="177" spans="36:37" ht="15" customHeight="1" x14ac:dyDescent="0.2">
      <c r="AJ177" s="42">
        <f t="shared" si="25"/>
        <v>169</v>
      </c>
      <c r="AK177" s="64">
        <f t="shared" si="24"/>
        <v>0</v>
      </c>
    </row>
    <row r="178" spans="36:37" ht="15" customHeight="1" x14ac:dyDescent="0.2">
      <c r="AJ178" s="42">
        <f t="shared" si="25"/>
        <v>170</v>
      </c>
      <c r="AK178" s="64">
        <f t="shared" si="24"/>
        <v>0</v>
      </c>
    </row>
    <row r="179" spans="36:37" ht="15" customHeight="1" x14ac:dyDescent="0.2">
      <c r="AJ179" s="42">
        <f t="shared" si="25"/>
        <v>171</v>
      </c>
      <c r="AK179" s="64">
        <f t="shared" si="24"/>
        <v>0</v>
      </c>
    </row>
    <row r="180" spans="36:37" ht="15" customHeight="1" x14ac:dyDescent="0.2">
      <c r="AJ180" s="42">
        <f t="shared" si="25"/>
        <v>172</v>
      </c>
      <c r="AK180" s="64">
        <f t="shared" si="24"/>
        <v>0</v>
      </c>
    </row>
    <row r="181" spans="36:37" ht="15" customHeight="1" x14ac:dyDescent="0.2">
      <c r="AJ181" s="42">
        <f t="shared" si="25"/>
        <v>173</v>
      </c>
      <c r="AK181" s="64">
        <f t="shared" si="24"/>
        <v>0</v>
      </c>
    </row>
    <row r="182" spans="36:37" ht="15" customHeight="1" x14ac:dyDescent="0.2">
      <c r="AJ182" s="42">
        <f t="shared" si="25"/>
        <v>174</v>
      </c>
      <c r="AK182" s="64">
        <f t="shared" si="24"/>
        <v>0</v>
      </c>
    </row>
    <row r="183" spans="36:37" ht="15" customHeight="1" x14ac:dyDescent="0.2">
      <c r="AJ183" s="42">
        <f t="shared" si="25"/>
        <v>175</v>
      </c>
      <c r="AK183" s="64">
        <f t="shared" si="24"/>
        <v>0</v>
      </c>
    </row>
    <row r="184" spans="36:37" ht="15" customHeight="1" x14ac:dyDescent="0.2">
      <c r="AJ184" s="42">
        <f t="shared" si="25"/>
        <v>176</v>
      </c>
      <c r="AK184" s="64">
        <f t="shared" si="24"/>
        <v>0</v>
      </c>
    </row>
    <row r="185" spans="36:37" ht="15" customHeight="1" x14ac:dyDescent="0.2">
      <c r="AJ185" s="42">
        <f t="shared" si="25"/>
        <v>177</v>
      </c>
      <c r="AK185" s="64">
        <f t="shared" si="24"/>
        <v>0</v>
      </c>
    </row>
    <row r="186" spans="36:37" ht="15" customHeight="1" x14ac:dyDescent="0.2">
      <c r="AJ186" s="42">
        <f t="shared" si="25"/>
        <v>178</v>
      </c>
      <c r="AK186" s="64">
        <f t="shared" si="24"/>
        <v>0</v>
      </c>
    </row>
    <row r="187" spans="36:37" ht="15" customHeight="1" x14ac:dyDescent="0.2">
      <c r="AJ187" s="42">
        <f t="shared" si="25"/>
        <v>179</v>
      </c>
      <c r="AK187" s="64">
        <f t="shared" si="24"/>
        <v>0</v>
      </c>
    </row>
    <row r="188" spans="36:37" ht="15" customHeight="1" x14ac:dyDescent="0.2">
      <c r="AJ188" s="42">
        <f t="shared" si="25"/>
        <v>180</v>
      </c>
      <c r="AK188" s="64">
        <f t="shared" si="24"/>
        <v>0</v>
      </c>
    </row>
    <row r="189" spans="36:37" ht="15" customHeight="1" x14ac:dyDescent="0.2">
      <c r="AJ189" s="42">
        <f t="shared" si="25"/>
        <v>181</v>
      </c>
      <c r="AK189" s="64">
        <f t="shared" si="24"/>
        <v>0</v>
      </c>
    </row>
    <row r="190" spans="36:37" ht="15" customHeight="1" x14ac:dyDescent="0.2">
      <c r="AJ190" s="42">
        <f t="shared" si="25"/>
        <v>182</v>
      </c>
      <c r="AK190" s="64">
        <f t="shared" si="24"/>
        <v>0</v>
      </c>
    </row>
    <row r="191" spans="36:37" ht="15" customHeight="1" x14ac:dyDescent="0.2">
      <c r="AJ191" s="42">
        <f t="shared" si="25"/>
        <v>183</v>
      </c>
      <c r="AK191" s="64">
        <f t="shared" si="24"/>
        <v>0</v>
      </c>
    </row>
    <row r="192" spans="36:37" ht="15" customHeight="1" x14ac:dyDescent="0.2">
      <c r="AJ192" s="42">
        <f t="shared" si="25"/>
        <v>184</v>
      </c>
      <c r="AK192" s="64">
        <f t="shared" si="24"/>
        <v>0</v>
      </c>
    </row>
    <row r="193" spans="36:37" ht="15" customHeight="1" x14ac:dyDescent="0.2">
      <c r="AJ193" s="42">
        <f t="shared" si="25"/>
        <v>185</v>
      </c>
      <c r="AK193" s="64">
        <f t="shared" si="24"/>
        <v>0</v>
      </c>
    </row>
    <row r="194" spans="36:37" ht="15" customHeight="1" x14ac:dyDescent="0.2">
      <c r="AJ194" s="42">
        <f t="shared" si="25"/>
        <v>186</v>
      </c>
      <c r="AK194" s="64">
        <f t="shared" si="24"/>
        <v>0</v>
      </c>
    </row>
    <row r="195" spans="36:37" ht="15" customHeight="1" x14ac:dyDescent="0.2">
      <c r="AJ195" s="42">
        <f t="shared" si="25"/>
        <v>187</v>
      </c>
      <c r="AK195" s="64">
        <f t="shared" si="24"/>
        <v>0</v>
      </c>
    </row>
    <row r="196" spans="36:37" ht="15" customHeight="1" x14ac:dyDescent="0.2">
      <c r="AJ196" s="42">
        <f t="shared" si="25"/>
        <v>188</v>
      </c>
      <c r="AK196" s="64">
        <f t="shared" si="24"/>
        <v>0</v>
      </c>
    </row>
    <row r="197" spans="36:37" ht="15" customHeight="1" x14ac:dyDescent="0.2">
      <c r="AJ197" s="42">
        <f t="shared" si="25"/>
        <v>189</v>
      </c>
      <c r="AK197" s="64">
        <f t="shared" si="24"/>
        <v>0</v>
      </c>
    </row>
    <row r="198" spans="36:37" ht="15" customHeight="1" x14ac:dyDescent="0.2">
      <c r="AJ198" s="42">
        <f t="shared" si="25"/>
        <v>190</v>
      </c>
      <c r="AK198" s="64">
        <f t="shared" si="24"/>
        <v>0</v>
      </c>
    </row>
    <row r="199" spans="36:37" ht="15" customHeight="1" x14ac:dyDescent="0.2">
      <c r="AJ199" s="42">
        <f t="shared" si="25"/>
        <v>191</v>
      </c>
      <c r="AK199" s="64">
        <f t="shared" si="24"/>
        <v>0</v>
      </c>
    </row>
    <row r="200" spans="36:37" ht="15" customHeight="1" x14ac:dyDescent="0.2">
      <c r="AJ200" s="42">
        <f t="shared" si="25"/>
        <v>192</v>
      </c>
      <c r="AK200" s="64">
        <f t="shared" si="24"/>
        <v>0</v>
      </c>
    </row>
    <row r="201" spans="36:37" ht="15" customHeight="1" x14ac:dyDescent="0.2">
      <c r="AJ201" s="42">
        <f t="shared" si="25"/>
        <v>193</v>
      </c>
      <c r="AK201" s="64">
        <f t="shared" si="24"/>
        <v>0</v>
      </c>
    </row>
    <row r="202" spans="36:37" ht="15" customHeight="1" x14ac:dyDescent="0.2">
      <c r="AJ202" s="42">
        <f t="shared" si="25"/>
        <v>194</v>
      </c>
      <c r="AK202" s="64">
        <f t="shared" ref="AK202:AK265" si="26">AP202</f>
        <v>0</v>
      </c>
    </row>
    <row r="203" spans="36:37" ht="15" customHeight="1" x14ac:dyDescent="0.2">
      <c r="AJ203" s="42">
        <f t="shared" ref="AJ203:AJ266" si="27">AJ202+1</f>
        <v>195</v>
      </c>
      <c r="AK203" s="64">
        <f t="shared" si="26"/>
        <v>0</v>
      </c>
    </row>
    <row r="204" spans="36:37" ht="15" customHeight="1" x14ac:dyDescent="0.2">
      <c r="AJ204" s="42">
        <f t="shared" si="27"/>
        <v>196</v>
      </c>
      <c r="AK204" s="64">
        <f t="shared" si="26"/>
        <v>0</v>
      </c>
    </row>
    <row r="205" spans="36:37" ht="15" customHeight="1" x14ac:dyDescent="0.2">
      <c r="AJ205" s="42">
        <f t="shared" si="27"/>
        <v>197</v>
      </c>
      <c r="AK205" s="64">
        <f t="shared" si="26"/>
        <v>0</v>
      </c>
    </row>
    <row r="206" spans="36:37" ht="15" customHeight="1" x14ac:dyDescent="0.2">
      <c r="AJ206" s="42">
        <f t="shared" si="27"/>
        <v>198</v>
      </c>
      <c r="AK206" s="64">
        <f t="shared" si="26"/>
        <v>0</v>
      </c>
    </row>
    <row r="207" spans="36:37" ht="15" customHeight="1" x14ac:dyDescent="0.2">
      <c r="AJ207" s="42">
        <f t="shared" si="27"/>
        <v>199</v>
      </c>
      <c r="AK207" s="64">
        <f t="shared" si="26"/>
        <v>0</v>
      </c>
    </row>
    <row r="208" spans="36:37" ht="15" customHeight="1" x14ac:dyDescent="0.2">
      <c r="AJ208" s="42">
        <f t="shared" si="27"/>
        <v>200</v>
      </c>
      <c r="AK208" s="64">
        <f t="shared" si="26"/>
        <v>0</v>
      </c>
    </row>
    <row r="209" spans="36:37" ht="15" customHeight="1" x14ac:dyDescent="0.2">
      <c r="AJ209" s="42">
        <f t="shared" si="27"/>
        <v>201</v>
      </c>
      <c r="AK209" s="64">
        <f t="shared" si="26"/>
        <v>0</v>
      </c>
    </row>
    <row r="210" spans="36:37" ht="15" customHeight="1" x14ac:dyDescent="0.2">
      <c r="AJ210" s="42">
        <f t="shared" si="27"/>
        <v>202</v>
      </c>
      <c r="AK210" s="64">
        <f t="shared" si="26"/>
        <v>0</v>
      </c>
    </row>
    <row r="211" spans="36:37" ht="15" customHeight="1" x14ac:dyDescent="0.2">
      <c r="AJ211" s="42">
        <f t="shared" si="27"/>
        <v>203</v>
      </c>
      <c r="AK211" s="64">
        <f t="shared" si="26"/>
        <v>0</v>
      </c>
    </row>
    <row r="212" spans="36:37" ht="15" customHeight="1" x14ac:dyDescent="0.2">
      <c r="AJ212" s="42">
        <f t="shared" si="27"/>
        <v>204</v>
      </c>
      <c r="AK212" s="64">
        <f t="shared" si="26"/>
        <v>0</v>
      </c>
    </row>
    <row r="213" spans="36:37" ht="15" customHeight="1" x14ac:dyDescent="0.2">
      <c r="AJ213" s="42">
        <f t="shared" si="27"/>
        <v>205</v>
      </c>
      <c r="AK213" s="64">
        <f t="shared" si="26"/>
        <v>0</v>
      </c>
    </row>
    <row r="214" spans="36:37" ht="15" customHeight="1" x14ac:dyDescent="0.2">
      <c r="AJ214" s="42">
        <f t="shared" si="27"/>
        <v>206</v>
      </c>
      <c r="AK214" s="64">
        <f t="shared" si="26"/>
        <v>0</v>
      </c>
    </row>
    <row r="215" spans="36:37" ht="15" customHeight="1" x14ac:dyDescent="0.2">
      <c r="AJ215" s="42">
        <f t="shared" si="27"/>
        <v>207</v>
      </c>
      <c r="AK215" s="64">
        <f t="shared" si="26"/>
        <v>0</v>
      </c>
    </row>
    <row r="216" spans="36:37" ht="15" customHeight="1" x14ac:dyDescent="0.2">
      <c r="AJ216" s="42">
        <f t="shared" si="27"/>
        <v>208</v>
      </c>
      <c r="AK216" s="64">
        <f t="shared" si="26"/>
        <v>0</v>
      </c>
    </row>
    <row r="217" spans="36:37" ht="15" customHeight="1" x14ac:dyDescent="0.2">
      <c r="AJ217" s="42">
        <f t="shared" si="27"/>
        <v>209</v>
      </c>
      <c r="AK217" s="64">
        <f t="shared" si="26"/>
        <v>0</v>
      </c>
    </row>
    <row r="218" spans="36:37" ht="15" customHeight="1" x14ac:dyDescent="0.2">
      <c r="AJ218" s="42">
        <f t="shared" si="27"/>
        <v>210</v>
      </c>
      <c r="AK218" s="64">
        <f t="shared" si="26"/>
        <v>0</v>
      </c>
    </row>
    <row r="219" spans="36:37" ht="15" customHeight="1" x14ac:dyDescent="0.2">
      <c r="AJ219" s="42">
        <f t="shared" si="27"/>
        <v>211</v>
      </c>
      <c r="AK219" s="64">
        <f t="shared" si="26"/>
        <v>0</v>
      </c>
    </row>
    <row r="220" spans="36:37" ht="15" customHeight="1" x14ac:dyDescent="0.2">
      <c r="AJ220" s="42">
        <f t="shared" si="27"/>
        <v>212</v>
      </c>
      <c r="AK220" s="64">
        <f t="shared" si="26"/>
        <v>0</v>
      </c>
    </row>
    <row r="221" spans="36:37" ht="15" customHeight="1" x14ac:dyDescent="0.2">
      <c r="AJ221" s="42">
        <f t="shared" si="27"/>
        <v>213</v>
      </c>
      <c r="AK221" s="64">
        <f t="shared" si="26"/>
        <v>0</v>
      </c>
    </row>
    <row r="222" spans="36:37" ht="15" customHeight="1" x14ac:dyDescent="0.2">
      <c r="AJ222" s="42">
        <f t="shared" si="27"/>
        <v>214</v>
      </c>
      <c r="AK222" s="64">
        <f t="shared" si="26"/>
        <v>0</v>
      </c>
    </row>
    <row r="223" spans="36:37" ht="15" customHeight="1" x14ac:dyDescent="0.2">
      <c r="AJ223" s="42">
        <f t="shared" si="27"/>
        <v>215</v>
      </c>
      <c r="AK223" s="64">
        <f t="shared" si="26"/>
        <v>0</v>
      </c>
    </row>
    <row r="224" spans="36:37" ht="15" customHeight="1" x14ac:dyDescent="0.2">
      <c r="AJ224" s="42">
        <f t="shared" si="27"/>
        <v>216</v>
      </c>
      <c r="AK224" s="64">
        <f t="shared" si="26"/>
        <v>0</v>
      </c>
    </row>
    <row r="225" spans="36:37" ht="15" customHeight="1" x14ac:dyDescent="0.2">
      <c r="AJ225" s="42">
        <f t="shared" si="27"/>
        <v>217</v>
      </c>
      <c r="AK225" s="64">
        <f t="shared" si="26"/>
        <v>0</v>
      </c>
    </row>
    <row r="226" spans="36:37" ht="15" customHeight="1" x14ac:dyDescent="0.2">
      <c r="AJ226" s="42">
        <f t="shared" si="27"/>
        <v>218</v>
      </c>
      <c r="AK226" s="64">
        <f t="shared" si="26"/>
        <v>0</v>
      </c>
    </row>
    <row r="227" spans="36:37" ht="15" customHeight="1" x14ac:dyDescent="0.2">
      <c r="AJ227" s="42">
        <f t="shared" si="27"/>
        <v>219</v>
      </c>
      <c r="AK227" s="64">
        <f t="shared" si="26"/>
        <v>0</v>
      </c>
    </row>
    <row r="228" spans="36:37" ht="15" customHeight="1" x14ac:dyDescent="0.2">
      <c r="AJ228" s="42">
        <f t="shared" si="27"/>
        <v>220</v>
      </c>
      <c r="AK228" s="64">
        <f t="shared" si="26"/>
        <v>0</v>
      </c>
    </row>
    <row r="229" spans="36:37" ht="15" customHeight="1" x14ac:dyDescent="0.2">
      <c r="AJ229" s="42">
        <f t="shared" si="27"/>
        <v>221</v>
      </c>
      <c r="AK229" s="64">
        <f t="shared" si="26"/>
        <v>0</v>
      </c>
    </row>
    <row r="230" spans="36:37" ht="15" customHeight="1" x14ac:dyDescent="0.2">
      <c r="AJ230" s="42">
        <f t="shared" si="27"/>
        <v>222</v>
      </c>
      <c r="AK230" s="64">
        <f t="shared" si="26"/>
        <v>0</v>
      </c>
    </row>
    <row r="231" spans="36:37" ht="15" customHeight="1" x14ac:dyDescent="0.2">
      <c r="AJ231" s="42">
        <f t="shared" si="27"/>
        <v>223</v>
      </c>
      <c r="AK231" s="64">
        <f t="shared" si="26"/>
        <v>0</v>
      </c>
    </row>
    <row r="232" spans="36:37" ht="15" customHeight="1" x14ac:dyDescent="0.2">
      <c r="AJ232" s="42">
        <f t="shared" si="27"/>
        <v>224</v>
      </c>
      <c r="AK232" s="64">
        <f t="shared" si="26"/>
        <v>0</v>
      </c>
    </row>
    <row r="233" spans="36:37" ht="15" customHeight="1" x14ac:dyDescent="0.2">
      <c r="AJ233" s="42">
        <f t="shared" si="27"/>
        <v>225</v>
      </c>
      <c r="AK233" s="64">
        <f t="shared" si="26"/>
        <v>0</v>
      </c>
    </row>
    <row r="234" spans="36:37" ht="15" customHeight="1" x14ac:dyDescent="0.2">
      <c r="AJ234" s="42">
        <f t="shared" si="27"/>
        <v>226</v>
      </c>
      <c r="AK234" s="64">
        <f t="shared" si="26"/>
        <v>0</v>
      </c>
    </row>
    <row r="235" spans="36:37" ht="15" customHeight="1" x14ac:dyDescent="0.2">
      <c r="AJ235" s="42">
        <f t="shared" si="27"/>
        <v>227</v>
      </c>
      <c r="AK235" s="64">
        <f t="shared" si="26"/>
        <v>0</v>
      </c>
    </row>
    <row r="236" spans="36:37" ht="15" customHeight="1" x14ac:dyDescent="0.2">
      <c r="AJ236" s="42">
        <f t="shared" si="27"/>
        <v>228</v>
      </c>
      <c r="AK236" s="64">
        <f t="shared" si="26"/>
        <v>0</v>
      </c>
    </row>
    <row r="237" spans="36:37" ht="15" customHeight="1" x14ac:dyDescent="0.2">
      <c r="AJ237" s="42">
        <f t="shared" si="27"/>
        <v>229</v>
      </c>
      <c r="AK237" s="64">
        <f t="shared" si="26"/>
        <v>0</v>
      </c>
    </row>
    <row r="238" spans="36:37" ht="15" customHeight="1" x14ac:dyDescent="0.2">
      <c r="AJ238" s="42">
        <f t="shared" si="27"/>
        <v>230</v>
      </c>
      <c r="AK238" s="64">
        <f t="shared" si="26"/>
        <v>0</v>
      </c>
    </row>
    <row r="239" spans="36:37" ht="15" customHeight="1" x14ac:dyDescent="0.2">
      <c r="AJ239" s="42">
        <f t="shared" si="27"/>
        <v>231</v>
      </c>
      <c r="AK239" s="64">
        <f t="shared" si="26"/>
        <v>0</v>
      </c>
    </row>
    <row r="240" spans="36:37" ht="15" customHeight="1" x14ac:dyDescent="0.2">
      <c r="AJ240" s="42">
        <f t="shared" si="27"/>
        <v>232</v>
      </c>
      <c r="AK240" s="64">
        <f t="shared" si="26"/>
        <v>0</v>
      </c>
    </row>
    <row r="241" spans="36:37" ht="15" customHeight="1" x14ac:dyDescent="0.2">
      <c r="AJ241" s="42">
        <f t="shared" si="27"/>
        <v>233</v>
      </c>
      <c r="AK241" s="64">
        <f t="shared" si="26"/>
        <v>0</v>
      </c>
    </row>
    <row r="242" spans="36:37" ht="15" customHeight="1" x14ac:dyDescent="0.2">
      <c r="AJ242" s="42">
        <f t="shared" si="27"/>
        <v>234</v>
      </c>
      <c r="AK242" s="64">
        <f t="shared" si="26"/>
        <v>0</v>
      </c>
    </row>
    <row r="243" spans="36:37" ht="15" customHeight="1" x14ac:dyDescent="0.2">
      <c r="AJ243" s="42">
        <f t="shared" si="27"/>
        <v>235</v>
      </c>
      <c r="AK243" s="64">
        <f t="shared" si="26"/>
        <v>0</v>
      </c>
    </row>
    <row r="244" spans="36:37" ht="15" customHeight="1" x14ac:dyDescent="0.2">
      <c r="AJ244" s="42">
        <f t="shared" si="27"/>
        <v>236</v>
      </c>
      <c r="AK244" s="64">
        <f t="shared" si="26"/>
        <v>0</v>
      </c>
    </row>
    <row r="245" spans="36:37" ht="15" customHeight="1" x14ac:dyDescent="0.2">
      <c r="AJ245" s="42">
        <f t="shared" si="27"/>
        <v>237</v>
      </c>
      <c r="AK245" s="64">
        <f t="shared" si="26"/>
        <v>0</v>
      </c>
    </row>
    <row r="246" spans="36:37" ht="15" customHeight="1" x14ac:dyDescent="0.2">
      <c r="AJ246" s="42">
        <f t="shared" si="27"/>
        <v>238</v>
      </c>
      <c r="AK246" s="64">
        <f t="shared" si="26"/>
        <v>0</v>
      </c>
    </row>
    <row r="247" spans="36:37" ht="15" customHeight="1" x14ac:dyDescent="0.2">
      <c r="AJ247" s="42">
        <f t="shared" si="27"/>
        <v>239</v>
      </c>
      <c r="AK247" s="64">
        <f t="shared" si="26"/>
        <v>0</v>
      </c>
    </row>
    <row r="248" spans="36:37" ht="15" customHeight="1" x14ac:dyDescent="0.2">
      <c r="AJ248" s="42">
        <f t="shared" si="27"/>
        <v>240</v>
      </c>
      <c r="AK248" s="64">
        <f t="shared" si="26"/>
        <v>0</v>
      </c>
    </row>
    <row r="249" spans="36:37" ht="15" customHeight="1" x14ac:dyDescent="0.2">
      <c r="AJ249" s="42">
        <f t="shared" si="27"/>
        <v>241</v>
      </c>
      <c r="AK249" s="64">
        <f t="shared" si="26"/>
        <v>0</v>
      </c>
    </row>
    <row r="250" spans="36:37" ht="15" customHeight="1" x14ac:dyDescent="0.2">
      <c r="AJ250" s="42">
        <f t="shared" si="27"/>
        <v>242</v>
      </c>
      <c r="AK250" s="64">
        <f t="shared" si="26"/>
        <v>0</v>
      </c>
    </row>
    <row r="251" spans="36:37" ht="15" customHeight="1" x14ac:dyDescent="0.2">
      <c r="AJ251" s="42">
        <f t="shared" si="27"/>
        <v>243</v>
      </c>
      <c r="AK251" s="64">
        <f t="shared" si="26"/>
        <v>0</v>
      </c>
    </row>
    <row r="252" spans="36:37" ht="15" customHeight="1" x14ac:dyDescent="0.2">
      <c r="AJ252" s="42">
        <f t="shared" si="27"/>
        <v>244</v>
      </c>
      <c r="AK252" s="64">
        <f t="shared" si="26"/>
        <v>0</v>
      </c>
    </row>
    <row r="253" spans="36:37" ht="15" customHeight="1" x14ac:dyDescent="0.2">
      <c r="AJ253" s="42">
        <f t="shared" si="27"/>
        <v>245</v>
      </c>
      <c r="AK253" s="64">
        <f t="shared" si="26"/>
        <v>0</v>
      </c>
    </row>
    <row r="254" spans="36:37" ht="15" customHeight="1" x14ac:dyDescent="0.2">
      <c r="AJ254" s="42">
        <f t="shared" si="27"/>
        <v>246</v>
      </c>
      <c r="AK254" s="64">
        <f t="shared" si="26"/>
        <v>0</v>
      </c>
    </row>
    <row r="255" spans="36:37" ht="15" customHeight="1" x14ac:dyDescent="0.2">
      <c r="AJ255" s="42">
        <f t="shared" si="27"/>
        <v>247</v>
      </c>
      <c r="AK255" s="64">
        <f t="shared" si="26"/>
        <v>0</v>
      </c>
    </row>
    <row r="256" spans="36:37" ht="15" customHeight="1" x14ac:dyDescent="0.2">
      <c r="AJ256" s="42">
        <f t="shared" si="27"/>
        <v>248</v>
      </c>
      <c r="AK256" s="64">
        <f t="shared" si="26"/>
        <v>0</v>
      </c>
    </row>
    <row r="257" spans="36:37" ht="15" customHeight="1" x14ac:dyDescent="0.2">
      <c r="AJ257" s="42">
        <f t="shared" si="27"/>
        <v>249</v>
      </c>
      <c r="AK257" s="64">
        <f t="shared" si="26"/>
        <v>0</v>
      </c>
    </row>
    <row r="258" spans="36:37" ht="15" customHeight="1" x14ac:dyDescent="0.2">
      <c r="AJ258" s="42">
        <f t="shared" si="27"/>
        <v>250</v>
      </c>
      <c r="AK258" s="64">
        <f t="shared" si="26"/>
        <v>0</v>
      </c>
    </row>
    <row r="259" spans="36:37" ht="15" customHeight="1" x14ac:dyDescent="0.2">
      <c r="AJ259" s="42">
        <f t="shared" si="27"/>
        <v>251</v>
      </c>
      <c r="AK259" s="64">
        <f t="shared" si="26"/>
        <v>0</v>
      </c>
    </row>
    <row r="260" spans="36:37" ht="15" customHeight="1" x14ac:dyDescent="0.2">
      <c r="AJ260" s="42">
        <f t="shared" si="27"/>
        <v>252</v>
      </c>
      <c r="AK260" s="64">
        <f t="shared" si="26"/>
        <v>0</v>
      </c>
    </row>
    <row r="261" spans="36:37" ht="15" customHeight="1" x14ac:dyDescent="0.2">
      <c r="AJ261" s="42">
        <f t="shared" si="27"/>
        <v>253</v>
      </c>
      <c r="AK261" s="64">
        <f t="shared" si="26"/>
        <v>0</v>
      </c>
    </row>
    <row r="262" spans="36:37" ht="15" customHeight="1" x14ac:dyDescent="0.2">
      <c r="AJ262" s="42">
        <f t="shared" si="27"/>
        <v>254</v>
      </c>
      <c r="AK262" s="64">
        <f t="shared" si="26"/>
        <v>0</v>
      </c>
    </row>
    <row r="263" spans="36:37" ht="15" customHeight="1" x14ac:dyDescent="0.2">
      <c r="AJ263" s="42">
        <f t="shared" si="27"/>
        <v>255</v>
      </c>
      <c r="AK263" s="64">
        <f t="shared" si="26"/>
        <v>0</v>
      </c>
    </row>
    <row r="264" spans="36:37" ht="15" customHeight="1" x14ac:dyDescent="0.2">
      <c r="AJ264" s="42">
        <f t="shared" si="27"/>
        <v>256</v>
      </c>
      <c r="AK264" s="64">
        <f t="shared" si="26"/>
        <v>0</v>
      </c>
    </row>
    <row r="265" spans="36:37" ht="15" customHeight="1" x14ac:dyDescent="0.2">
      <c r="AJ265" s="42">
        <f t="shared" si="27"/>
        <v>257</v>
      </c>
      <c r="AK265" s="64">
        <f t="shared" si="26"/>
        <v>0</v>
      </c>
    </row>
    <row r="266" spans="36:37" ht="15" customHeight="1" x14ac:dyDescent="0.2">
      <c r="AJ266" s="42">
        <f t="shared" si="27"/>
        <v>258</v>
      </c>
      <c r="AK266" s="64">
        <f t="shared" ref="AK266:AK329" si="28">AP266</f>
        <v>0</v>
      </c>
    </row>
    <row r="267" spans="36:37" ht="15" customHeight="1" x14ac:dyDescent="0.2">
      <c r="AJ267" s="42">
        <f t="shared" ref="AJ267:AJ330" si="29">AJ266+1</f>
        <v>259</v>
      </c>
      <c r="AK267" s="64">
        <f t="shared" si="28"/>
        <v>0</v>
      </c>
    </row>
    <row r="268" spans="36:37" ht="15" customHeight="1" x14ac:dyDescent="0.2">
      <c r="AJ268" s="42">
        <f t="shared" si="29"/>
        <v>260</v>
      </c>
      <c r="AK268" s="64">
        <f t="shared" si="28"/>
        <v>0</v>
      </c>
    </row>
    <row r="269" spans="36:37" ht="15" customHeight="1" x14ac:dyDescent="0.2">
      <c r="AJ269" s="42">
        <f t="shared" si="29"/>
        <v>261</v>
      </c>
      <c r="AK269" s="64">
        <f t="shared" si="28"/>
        <v>0</v>
      </c>
    </row>
    <row r="270" spans="36:37" ht="15" customHeight="1" x14ac:dyDescent="0.2">
      <c r="AJ270" s="42">
        <f t="shared" si="29"/>
        <v>262</v>
      </c>
      <c r="AK270" s="64">
        <f t="shared" si="28"/>
        <v>0</v>
      </c>
    </row>
    <row r="271" spans="36:37" ht="15" customHeight="1" x14ac:dyDescent="0.2">
      <c r="AJ271" s="42">
        <f t="shared" si="29"/>
        <v>263</v>
      </c>
      <c r="AK271" s="64">
        <f t="shared" si="28"/>
        <v>0</v>
      </c>
    </row>
    <row r="272" spans="36:37" ht="15" customHeight="1" x14ac:dyDescent="0.2">
      <c r="AJ272" s="42">
        <f t="shared" si="29"/>
        <v>264</v>
      </c>
      <c r="AK272" s="64">
        <f t="shared" si="28"/>
        <v>0</v>
      </c>
    </row>
    <row r="273" spans="36:37" ht="15" customHeight="1" x14ac:dyDescent="0.2">
      <c r="AJ273" s="42">
        <f t="shared" si="29"/>
        <v>265</v>
      </c>
      <c r="AK273" s="64">
        <f t="shared" si="28"/>
        <v>0</v>
      </c>
    </row>
    <row r="274" spans="36:37" ht="15" customHeight="1" x14ac:dyDescent="0.2">
      <c r="AJ274" s="42">
        <f t="shared" si="29"/>
        <v>266</v>
      </c>
      <c r="AK274" s="64">
        <f t="shared" si="28"/>
        <v>0</v>
      </c>
    </row>
    <row r="275" spans="36:37" ht="15" customHeight="1" x14ac:dyDescent="0.2">
      <c r="AJ275" s="42">
        <f t="shared" si="29"/>
        <v>267</v>
      </c>
      <c r="AK275" s="64">
        <f t="shared" si="28"/>
        <v>0</v>
      </c>
    </row>
    <row r="276" spans="36:37" ht="15" customHeight="1" x14ac:dyDescent="0.2">
      <c r="AJ276" s="42">
        <f t="shared" si="29"/>
        <v>268</v>
      </c>
      <c r="AK276" s="64">
        <f t="shared" si="28"/>
        <v>0</v>
      </c>
    </row>
    <row r="277" spans="36:37" ht="15" customHeight="1" x14ac:dyDescent="0.2">
      <c r="AJ277" s="42">
        <f t="shared" si="29"/>
        <v>269</v>
      </c>
      <c r="AK277" s="64">
        <f t="shared" si="28"/>
        <v>0</v>
      </c>
    </row>
    <row r="278" spans="36:37" ht="15" customHeight="1" x14ac:dyDescent="0.2">
      <c r="AJ278" s="42">
        <f t="shared" si="29"/>
        <v>270</v>
      </c>
      <c r="AK278" s="64">
        <f t="shared" si="28"/>
        <v>0</v>
      </c>
    </row>
    <row r="279" spans="36:37" ht="15" customHeight="1" x14ac:dyDescent="0.2">
      <c r="AJ279" s="42">
        <f t="shared" si="29"/>
        <v>271</v>
      </c>
      <c r="AK279" s="64">
        <f t="shared" si="28"/>
        <v>0</v>
      </c>
    </row>
    <row r="280" spans="36:37" ht="15" customHeight="1" x14ac:dyDescent="0.2">
      <c r="AJ280" s="42">
        <f t="shared" si="29"/>
        <v>272</v>
      </c>
      <c r="AK280" s="64">
        <f t="shared" si="28"/>
        <v>0</v>
      </c>
    </row>
    <row r="281" spans="36:37" ht="15" customHeight="1" x14ac:dyDescent="0.2">
      <c r="AJ281" s="42">
        <f t="shared" si="29"/>
        <v>273</v>
      </c>
      <c r="AK281" s="64">
        <f t="shared" si="28"/>
        <v>0</v>
      </c>
    </row>
    <row r="282" spans="36:37" ht="15" customHeight="1" x14ac:dyDescent="0.2">
      <c r="AJ282" s="42">
        <f t="shared" si="29"/>
        <v>274</v>
      </c>
      <c r="AK282" s="64">
        <f t="shared" si="28"/>
        <v>0</v>
      </c>
    </row>
    <row r="283" spans="36:37" ht="15" customHeight="1" x14ac:dyDescent="0.2">
      <c r="AJ283" s="42">
        <f t="shared" si="29"/>
        <v>275</v>
      </c>
      <c r="AK283" s="64">
        <f t="shared" si="28"/>
        <v>0</v>
      </c>
    </row>
    <row r="284" spans="36:37" ht="15" customHeight="1" x14ac:dyDescent="0.2">
      <c r="AJ284" s="42">
        <f t="shared" si="29"/>
        <v>276</v>
      </c>
      <c r="AK284" s="64">
        <f t="shared" si="28"/>
        <v>0</v>
      </c>
    </row>
    <row r="285" spans="36:37" ht="15" customHeight="1" x14ac:dyDescent="0.2">
      <c r="AJ285" s="42">
        <f t="shared" si="29"/>
        <v>277</v>
      </c>
      <c r="AK285" s="64">
        <f t="shared" si="28"/>
        <v>0</v>
      </c>
    </row>
    <row r="286" spans="36:37" ht="15" customHeight="1" x14ac:dyDescent="0.2">
      <c r="AJ286" s="42">
        <f t="shared" si="29"/>
        <v>278</v>
      </c>
      <c r="AK286" s="64">
        <f t="shared" si="28"/>
        <v>0</v>
      </c>
    </row>
    <row r="287" spans="36:37" ht="15" customHeight="1" x14ac:dyDescent="0.2">
      <c r="AJ287" s="42">
        <f t="shared" si="29"/>
        <v>279</v>
      </c>
      <c r="AK287" s="64">
        <f t="shared" si="28"/>
        <v>0</v>
      </c>
    </row>
    <row r="288" spans="36:37" ht="15" customHeight="1" x14ac:dyDescent="0.2">
      <c r="AJ288" s="42">
        <f t="shared" si="29"/>
        <v>280</v>
      </c>
      <c r="AK288" s="64">
        <f t="shared" si="28"/>
        <v>0</v>
      </c>
    </row>
    <row r="289" spans="36:37" ht="15" customHeight="1" x14ac:dyDescent="0.2">
      <c r="AJ289" s="42">
        <f t="shared" si="29"/>
        <v>281</v>
      </c>
      <c r="AK289" s="64">
        <f t="shared" si="28"/>
        <v>0</v>
      </c>
    </row>
    <row r="290" spans="36:37" ht="15" customHeight="1" x14ac:dyDescent="0.2">
      <c r="AJ290" s="42">
        <f t="shared" si="29"/>
        <v>282</v>
      </c>
      <c r="AK290" s="64">
        <f t="shared" si="28"/>
        <v>0</v>
      </c>
    </row>
    <row r="291" spans="36:37" ht="15" customHeight="1" x14ac:dyDescent="0.2">
      <c r="AJ291" s="42">
        <f t="shared" si="29"/>
        <v>283</v>
      </c>
      <c r="AK291" s="64">
        <f t="shared" si="28"/>
        <v>0</v>
      </c>
    </row>
    <row r="292" spans="36:37" ht="15" customHeight="1" x14ac:dyDescent="0.2">
      <c r="AJ292" s="42">
        <f t="shared" si="29"/>
        <v>284</v>
      </c>
      <c r="AK292" s="64">
        <f t="shared" si="28"/>
        <v>0</v>
      </c>
    </row>
    <row r="293" spans="36:37" ht="15" customHeight="1" x14ac:dyDescent="0.2">
      <c r="AJ293" s="42">
        <f t="shared" si="29"/>
        <v>285</v>
      </c>
      <c r="AK293" s="64">
        <f t="shared" si="28"/>
        <v>0</v>
      </c>
    </row>
    <row r="294" spans="36:37" ht="15" customHeight="1" x14ac:dyDescent="0.2">
      <c r="AJ294" s="42">
        <f t="shared" si="29"/>
        <v>286</v>
      </c>
      <c r="AK294" s="64">
        <f t="shared" si="28"/>
        <v>0</v>
      </c>
    </row>
    <row r="295" spans="36:37" ht="15" customHeight="1" x14ac:dyDescent="0.2">
      <c r="AJ295" s="42">
        <f t="shared" si="29"/>
        <v>287</v>
      </c>
      <c r="AK295" s="64">
        <f t="shared" si="28"/>
        <v>0</v>
      </c>
    </row>
    <row r="296" spans="36:37" ht="15" customHeight="1" x14ac:dyDescent="0.2">
      <c r="AJ296" s="42">
        <f t="shared" si="29"/>
        <v>288</v>
      </c>
      <c r="AK296" s="64">
        <f t="shared" si="28"/>
        <v>0</v>
      </c>
    </row>
    <row r="297" spans="36:37" ht="15" customHeight="1" x14ac:dyDescent="0.2">
      <c r="AJ297" s="42">
        <f t="shared" si="29"/>
        <v>289</v>
      </c>
      <c r="AK297" s="64">
        <f t="shared" si="28"/>
        <v>0</v>
      </c>
    </row>
    <row r="298" spans="36:37" ht="15" customHeight="1" x14ac:dyDescent="0.2">
      <c r="AJ298" s="42">
        <f t="shared" si="29"/>
        <v>290</v>
      </c>
      <c r="AK298" s="64">
        <f t="shared" si="28"/>
        <v>0</v>
      </c>
    </row>
    <row r="299" spans="36:37" ht="15" customHeight="1" x14ac:dyDescent="0.2">
      <c r="AJ299" s="42">
        <f t="shared" si="29"/>
        <v>291</v>
      </c>
      <c r="AK299" s="64">
        <f t="shared" si="28"/>
        <v>0</v>
      </c>
    </row>
    <row r="300" spans="36:37" ht="15" customHeight="1" x14ac:dyDescent="0.2">
      <c r="AJ300" s="42">
        <f t="shared" si="29"/>
        <v>292</v>
      </c>
      <c r="AK300" s="64">
        <f t="shared" si="28"/>
        <v>0</v>
      </c>
    </row>
    <row r="301" spans="36:37" ht="15" customHeight="1" x14ac:dyDescent="0.2">
      <c r="AJ301" s="42">
        <f t="shared" si="29"/>
        <v>293</v>
      </c>
      <c r="AK301" s="64">
        <f t="shared" si="28"/>
        <v>0</v>
      </c>
    </row>
    <row r="302" spans="36:37" ht="15" customHeight="1" x14ac:dyDescent="0.2">
      <c r="AJ302" s="42">
        <f t="shared" si="29"/>
        <v>294</v>
      </c>
      <c r="AK302" s="64">
        <f t="shared" si="28"/>
        <v>0</v>
      </c>
    </row>
    <row r="303" spans="36:37" ht="15" customHeight="1" x14ac:dyDescent="0.2">
      <c r="AJ303" s="42">
        <f t="shared" si="29"/>
        <v>295</v>
      </c>
      <c r="AK303" s="64">
        <f t="shared" si="28"/>
        <v>0</v>
      </c>
    </row>
    <row r="304" spans="36:37" ht="15" customHeight="1" x14ac:dyDescent="0.2">
      <c r="AJ304" s="42">
        <f t="shared" si="29"/>
        <v>296</v>
      </c>
      <c r="AK304" s="64">
        <f t="shared" si="28"/>
        <v>0</v>
      </c>
    </row>
    <row r="305" spans="36:37" ht="15" customHeight="1" x14ac:dyDescent="0.2">
      <c r="AJ305" s="42">
        <f t="shared" si="29"/>
        <v>297</v>
      </c>
      <c r="AK305" s="64">
        <f t="shared" si="28"/>
        <v>0</v>
      </c>
    </row>
    <row r="306" spans="36:37" ht="15" customHeight="1" x14ac:dyDescent="0.2">
      <c r="AJ306" s="42">
        <f t="shared" si="29"/>
        <v>298</v>
      </c>
      <c r="AK306" s="64">
        <f t="shared" si="28"/>
        <v>0</v>
      </c>
    </row>
    <row r="307" spans="36:37" ht="15" customHeight="1" x14ac:dyDescent="0.2">
      <c r="AJ307" s="42">
        <f t="shared" si="29"/>
        <v>299</v>
      </c>
      <c r="AK307" s="64">
        <f t="shared" si="28"/>
        <v>0</v>
      </c>
    </row>
    <row r="308" spans="36:37" ht="15" customHeight="1" x14ac:dyDescent="0.2">
      <c r="AJ308" s="42">
        <f t="shared" si="29"/>
        <v>300</v>
      </c>
      <c r="AK308" s="64">
        <f t="shared" si="28"/>
        <v>0</v>
      </c>
    </row>
    <row r="309" spans="36:37" ht="15" customHeight="1" x14ac:dyDescent="0.2">
      <c r="AJ309" s="42">
        <f t="shared" si="29"/>
        <v>301</v>
      </c>
      <c r="AK309" s="64">
        <f t="shared" si="28"/>
        <v>0</v>
      </c>
    </row>
    <row r="310" spans="36:37" ht="15" customHeight="1" x14ac:dyDescent="0.2">
      <c r="AJ310" s="42">
        <f t="shared" si="29"/>
        <v>302</v>
      </c>
      <c r="AK310" s="64">
        <f t="shared" si="28"/>
        <v>0</v>
      </c>
    </row>
    <row r="311" spans="36:37" ht="15" customHeight="1" x14ac:dyDescent="0.2">
      <c r="AJ311" s="42">
        <f t="shared" si="29"/>
        <v>303</v>
      </c>
      <c r="AK311" s="64">
        <f t="shared" si="28"/>
        <v>0</v>
      </c>
    </row>
    <row r="312" spans="36:37" ht="15" customHeight="1" x14ac:dyDescent="0.2">
      <c r="AJ312" s="42">
        <f t="shared" si="29"/>
        <v>304</v>
      </c>
      <c r="AK312" s="64">
        <f t="shared" si="28"/>
        <v>0</v>
      </c>
    </row>
    <row r="313" spans="36:37" ht="15" customHeight="1" x14ac:dyDescent="0.2">
      <c r="AJ313" s="42">
        <f t="shared" si="29"/>
        <v>305</v>
      </c>
      <c r="AK313" s="64">
        <f t="shared" si="28"/>
        <v>0</v>
      </c>
    </row>
    <row r="314" spans="36:37" ht="15" customHeight="1" x14ac:dyDescent="0.2">
      <c r="AJ314" s="42">
        <f t="shared" si="29"/>
        <v>306</v>
      </c>
      <c r="AK314" s="64">
        <f t="shared" si="28"/>
        <v>0</v>
      </c>
    </row>
    <row r="315" spans="36:37" ht="15" customHeight="1" x14ac:dyDescent="0.2">
      <c r="AJ315" s="42">
        <f t="shared" si="29"/>
        <v>307</v>
      </c>
      <c r="AK315" s="64">
        <f t="shared" si="28"/>
        <v>0</v>
      </c>
    </row>
    <row r="316" spans="36:37" ht="15" customHeight="1" x14ac:dyDescent="0.2">
      <c r="AJ316" s="42">
        <f t="shared" si="29"/>
        <v>308</v>
      </c>
      <c r="AK316" s="64">
        <f t="shared" si="28"/>
        <v>0</v>
      </c>
    </row>
    <row r="317" spans="36:37" ht="15" customHeight="1" x14ac:dyDescent="0.2">
      <c r="AJ317" s="42">
        <f t="shared" si="29"/>
        <v>309</v>
      </c>
      <c r="AK317" s="64">
        <f t="shared" si="28"/>
        <v>0</v>
      </c>
    </row>
    <row r="318" spans="36:37" ht="15" customHeight="1" x14ac:dyDescent="0.2">
      <c r="AJ318" s="42">
        <f t="shared" si="29"/>
        <v>310</v>
      </c>
      <c r="AK318" s="64">
        <f t="shared" si="28"/>
        <v>0</v>
      </c>
    </row>
    <row r="319" spans="36:37" ht="15" customHeight="1" x14ac:dyDescent="0.2">
      <c r="AJ319" s="42">
        <f t="shared" si="29"/>
        <v>311</v>
      </c>
      <c r="AK319" s="64">
        <f t="shared" si="28"/>
        <v>0</v>
      </c>
    </row>
    <row r="320" spans="36:37" ht="15" customHeight="1" x14ac:dyDescent="0.2">
      <c r="AJ320" s="42">
        <f t="shared" si="29"/>
        <v>312</v>
      </c>
      <c r="AK320" s="64">
        <f t="shared" si="28"/>
        <v>0</v>
      </c>
    </row>
    <row r="321" spans="36:37" ht="15" customHeight="1" x14ac:dyDescent="0.2">
      <c r="AJ321" s="42">
        <f t="shared" si="29"/>
        <v>313</v>
      </c>
      <c r="AK321" s="64">
        <f t="shared" si="28"/>
        <v>0</v>
      </c>
    </row>
    <row r="322" spans="36:37" ht="15" customHeight="1" x14ac:dyDescent="0.2">
      <c r="AJ322" s="42">
        <f t="shared" si="29"/>
        <v>314</v>
      </c>
      <c r="AK322" s="64">
        <f t="shared" si="28"/>
        <v>0</v>
      </c>
    </row>
    <row r="323" spans="36:37" ht="15" customHeight="1" x14ac:dyDescent="0.2">
      <c r="AJ323" s="42">
        <f t="shared" si="29"/>
        <v>315</v>
      </c>
      <c r="AK323" s="64">
        <f t="shared" si="28"/>
        <v>0</v>
      </c>
    </row>
    <row r="324" spans="36:37" ht="15" customHeight="1" x14ac:dyDescent="0.2">
      <c r="AJ324" s="42">
        <f t="shared" si="29"/>
        <v>316</v>
      </c>
      <c r="AK324" s="64">
        <f t="shared" si="28"/>
        <v>0</v>
      </c>
    </row>
    <row r="325" spans="36:37" ht="15" customHeight="1" x14ac:dyDescent="0.2">
      <c r="AJ325" s="42">
        <f t="shared" si="29"/>
        <v>317</v>
      </c>
      <c r="AK325" s="64">
        <f t="shared" si="28"/>
        <v>0</v>
      </c>
    </row>
    <row r="326" spans="36:37" ht="15" customHeight="1" x14ac:dyDescent="0.2">
      <c r="AJ326" s="42">
        <f t="shared" si="29"/>
        <v>318</v>
      </c>
      <c r="AK326" s="64">
        <f t="shared" si="28"/>
        <v>0</v>
      </c>
    </row>
    <row r="327" spans="36:37" ht="15" customHeight="1" x14ac:dyDescent="0.2">
      <c r="AJ327" s="42">
        <f t="shared" si="29"/>
        <v>319</v>
      </c>
      <c r="AK327" s="64">
        <f t="shared" si="28"/>
        <v>0</v>
      </c>
    </row>
    <row r="328" spans="36:37" ht="15" customHeight="1" x14ac:dyDescent="0.2">
      <c r="AJ328" s="42">
        <f t="shared" si="29"/>
        <v>320</v>
      </c>
      <c r="AK328" s="64">
        <f t="shared" si="28"/>
        <v>0</v>
      </c>
    </row>
    <row r="329" spans="36:37" ht="15" customHeight="1" x14ac:dyDescent="0.2">
      <c r="AJ329" s="42">
        <f t="shared" si="29"/>
        <v>321</v>
      </c>
      <c r="AK329" s="64">
        <f t="shared" si="28"/>
        <v>0</v>
      </c>
    </row>
    <row r="330" spans="36:37" ht="15" customHeight="1" x14ac:dyDescent="0.2">
      <c r="AJ330" s="42">
        <f t="shared" si="29"/>
        <v>322</v>
      </c>
      <c r="AK330" s="64">
        <f t="shared" ref="AK330:AK393" si="30">AP330</f>
        <v>0</v>
      </c>
    </row>
    <row r="331" spans="36:37" ht="15" customHeight="1" x14ac:dyDescent="0.2">
      <c r="AJ331" s="42">
        <f t="shared" ref="AJ331:AJ394" si="31">AJ330+1</f>
        <v>323</v>
      </c>
      <c r="AK331" s="64">
        <f t="shared" si="30"/>
        <v>0</v>
      </c>
    </row>
    <row r="332" spans="36:37" ht="15" customHeight="1" x14ac:dyDescent="0.2">
      <c r="AJ332" s="42">
        <f t="shared" si="31"/>
        <v>324</v>
      </c>
      <c r="AK332" s="64">
        <f t="shared" si="30"/>
        <v>0</v>
      </c>
    </row>
    <row r="333" spans="36:37" ht="15" customHeight="1" x14ac:dyDescent="0.2">
      <c r="AJ333" s="42">
        <f t="shared" si="31"/>
        <v>325</v>
      </c>
      <c r="AK333" s="64">
        <f t="shared" si="30"/>
        <v>0</v>
      </c>
    </row>
    <row r="334" spans="36:37" ht="15" customHeight="1" x14ac:dyDescent="0.2">
      <c r="AJ334" s="42">
        <f t="shared" si="31"/>
        <v>326</v>
      </c>
      <c r="AK334" s="64">
        <f t="shared" si="30"/>
        <v>0</v>
      </c>
    </row>
    <row r="335" spans="36:37" ht="15" customHeight="1" x14ac:dyDescent="0.2">
      <c r="AJ335" s="42">
        <f t="shared" si="31"/>
        <v>327</v>
      </c>
      <c r="AK335" s="64">
        <f t="shared" si="30"/>
        <v>0</v>
      </c>
    </row>
    <row r="336" spans="36:37" ht="15" customHeight="1" x14ac:dyDescent="0.2">
      <c r="AJ336" s="42">
        <f t="shared" si="31"/>
        <v>328</v>
      </c>
      <c r="AK336" s="64">
        <f t="shared" si="30"/>
        <v>0</v>
      </c>
    </row>
    <row r="337" spans="36:37" ht="15" customHeight="1" x14ac:dyDescent="0.2">
      <c r="AJ337" s="42">
        <f t="shared" si="31"/>
        <v>329</v>
      </c>
      <c r="AK337" s="64">
        <f t="shared" si="30"/>
        <v>0</v>
      </c>
    </row>
    <row r="338" spans="36:37" ht="15" customHeight="1" x14ac:dyDescent="0.2">
      <c r="AJ338" s="42">
        <f t="shared" si="31"/>
        <v>330</v>
      </c>
      <c r="AK338" s="64">
        <f t="shared" si="30"/>
        <v>0</v>
      </c>
    </row>
    <row r="339" spans="36:37" ht="15" customHeight="1" x14ac:dyDescent="0.2">
      <c r="AJ339" s="42">
        <f t="shared" si="31"/>
        <v>331</v>
      </c>
      <c r="AK339" s="64">
        <f t="shared" si="30"/>
        <v>0</v>
      </c>
    </row>
    <row r="340" spans="36:37" ht="15" customHeight="1" x14ac:dyDescent="0.2">
      <c r="AJ340" s="42">
        <f t="shared" si="31"/>
        <v>332</v>
      </c>
      <c r="AK340" s="64">
        <f t="shared" si="30"/>
        <v>0</v>
      </c>
    </row>
    <row r="341" spans="36:37" ht="15" customHeight="1" x14ac:dyDescent="0.2">
      <c r="AJ341" s="42">
        <f t="shared" si="31"/>
        <v>333</v>
      </c>
      <c r="AK341" s="64">
        <f t="shared" si="30"/>
        <v>0</v>
      </c>
    </row>
    <row r="342" spans="36:37" ht="15" customHeight="1" x14ac:dyDescent="0.2">
      <c r="AJ342" s="42">
        <f t="shared" si="31"/>
        <v>334</v>
      </c>
      <c r="AK342" s="64">
        <f t="shared" si="30"/>
        <v>0</v>
      </c>
    </row>
    <row r="343" spans="36:37" ht="15" customHeight="1" x14ac:dyDescent="0.2">
      <c r="AJ343" s="42">
        <f t="shared" si="31"/>
        <v>335</v>
      </c>
      <c r="AK343" s="64">
        <f t="shared" si="30"/>
        <v>0</v>
      </c>
    </row>
    <row r="344" spans="36:37" ht="15" customHeight="1" x14ac:dyDescent="0.2">
      <c r="AJ344" s="42">
        <f t="shared" si="31"/>
        <v>336</v>
      </c>
      <c r="AK344" s="64">
        <f t="shared" si="30"/>
        <v>0</v>
      </c>
    </row>
    <row r="345" spans="36:37" ht="15" customHeight="1" x14ac:dyDescent="0.2">
      <c r="AJ345" s="42">
        <f t="shared" si="31"/>
        <v>337</v>
      </c>
      <c r="AK345" s="64">
        <f t="shared" si="30"/>
        <v>0</v>
      </c>
    </row>
    <row r="346" spans="36:37" ht="15" customHeight="1" x14ac:dyDescent="0.2">
      <c r="AJ346" s="42">
        <f t="shared" si="31"/>
        <v>338</v>
      </c>
      <c r="AK346" s="64">
        <f t="shared" si="30"/>
        <v>0</v>
      </c>
    </row>
    <row r="347" spans="36:37" ht="15" customHeight="1" x14ac:dyDescent="0.2">
      <c r="AJ347" s="42">
        <f t="shared" si="31"/>
        <v>339</v>
      </c>
      <c r="AK347" s="64">
        <f t="shared" si="30"/>
        <v>0</v>
      </c>
    </row>
    <row r="348" spans="36:37" ht="15" customHeight="1" x14ac:dyDescent="0.2">
      <c r="AJ348" s="42">
        <f t="shared" si="31"/>
        <v>340</v>
      </c>
      <c r="AK348" s="64">
        <f t="shared" si="30"/>
        <v>0</v>
      </c>
    </row>
    <row r="349" spans="36:37" ht="15" customHeight="1" x14ac:dyDescent="0.2">
      <c r="AJ349" s="42">
        <f t="shared" si="31"/>
        <v>341</v>
      </c>
      <c r="AK349" s="64">
        <f t="shared" si="30"/>
        <v>0</v>
      </c>
    </row>
    <row r="350" spans="36:37" ht="15" customHeight="1" x14ac:dyDescent="0.2">
      <c r="AJ350" s="42">
        <f t="shared" si="31"/>
        <v>342</v>
      </c>
      <c r="AK350" s="64">
        <f t="shared" si="30"/>
        <v>0</v>
      </c>
    </row>
    <row r="351" spans="36:37" ht="15" customHeight="1" x14ac:dyDescent="0.2">
      <c r="AJ351" s="42">
        <f t="shared" si="31"/>
        <v>343</v>
      </c>
      <c r="AK351" s="64">
        <f t="shared" si="30"/>
        <v>0</v>
      </c>
    </row>
    <row r="352" spans="36:37" ht="15" customHeight="1" x14ac:dyDescent="0.2">
      <c r="AJ352" s="42">
        <f t="shared" si="31"/>
        <v>344</v>
      </c>
      <c r="AK352" s="64">
        <f t="shared" si="30"/>
        <v>0</v>
      </c>
    </row>
    <row r="353" spans="36:37" ht="15" customHeight="1" x14ac:dyDescent="0.2">
      <c r="AJ353" s="42">
        <f t="shared" si="31"/>
        <v>345</v>
      </c>
      <c r="AK353" s="64">
        <f t="shared" si="30"/>
        <v>0</v>
      </c>
    </row>
    <row r="354" spans="36:37" ht="15" customHeight="1" x14ac:dyDescent="0.2">
      <c r="AJ354" s="42">
        <f t="shared" si="31"/>
        <v>346</v>
      </c>
      <c r="AK354" s="64">
        <f t="shared" si="30"/>
        <v>0</v>
      </c>
    </row>
    <row r="355" spans="36:37" ht="15" customHeight="1" x14ac:dyDescent="0.2">
      <c r="AJ355" s="42">
        <f t="shared" si="31"/>
        <v>347</v>
      </c>
      <c r="AK355" s="64">
        <f t="shared" si="30"/>
        <v>0</v>
      </c>
    </row>
    <row r="356" spans="36:37" ht="15" customHeight="1" x14ac:dyDescent="0.2">
      <c r="AJ356" s="42">
        <f t="shared" si="31"/>
        <v>348</v>
      </c>
      <c r="AK356" s="64">
        <f t="shared" si="30"/>
        <v>0</v>
      </c>
    </row>
    <row r="357" spans="36:37" ht="15" customHeight="1" x14ac:dyDescent="0.2">
      <c r="AJ357" s="42">
        <f t="shared" si="31"/>
        <v>349</v>
      </c>
      <c r="AK357" s="64">
        <f t="shared" si="30"/>
        <v>0</v>
      </c>
    </row>
    <row r="358" spans="36:37" ht="15" customHeight="1" x14ac:dyDescent="0.2">
      <c r="AJ358" s="42">
        <f t="shared" si="31"/>
        <v>350</v>
      </c>
      <c r="AK358" s="64">
        <f t="shared" si="30"/>
        <v>0</v>
      </c>
    </row>
    <row r="359" spans="36:37" ht="15" customHeight="1" x14ac:dyDescent="0.2">
      <c r="AJ359" s="42">
        <f t="shared" si="31"/>
        <v>351</v>
      </c>
      <c r="AK359" s="64">
        <f t="shared" si="30"/>
        <v>0</v>
      </c>
    </row>
    <row r="360" spans="36:37" ht="15" customHeight="1" x14ac:dyDescent="0.2">
      <c r="AJ360" s="42">
        <f t="shared" si="31"/>
        <v>352</v>
      </c>
      <c r="AK360" s="64">
        <f t="shared" si="30"/>
        <v>0</v>
      </c>
    </row>
    <row r="361" spans="36:37" ht="15" customHeight="1" x14ac:dyDescent="0.2">
      <c r="AJ361" s="42">
        <f t="shared" si="31"/>
        <v>353</v>
      </c>
      <c r="AK361" s="64">
        <f t="shared" si="30"/>
        <v>0</v>
      </c>
    </row>
    <row r="362" spans="36:37" ht="15" customHeight="1" x14ac:dyDescent="0.2">
      <c r="AJ362" s="42">
        <f t="shared" si="31"/>
        <v>354</v>
      </c>
      <c r="AK362" s="64">
        <f t="shared" si="30"/>
        <v>0</v>
      </c>
    </row>
    <row r="363" spans="36:37" ht="15" customHeight="1" x14ac:dyDescent="0.2">
      <c r="AJ363" s="42">
        <f t="shared" si="31"/>
        <v>355</v>
      </c>
      <c r="AK363" s="64">
        <f t="shared" si="30"/>
        <v>0</v>
      </c>
    </row>
    <row r="364" spans="36:37" ht="15" customHeight="1" x14ac:dyDescent="0.2">
      <c r="AJ364" s="42">
        <f t="shared" si="31"/>
        <v>356</v>
      </c>
      <c r="AK364" s="64">
        <f t="shared" si="30"/>
        <v>0</v>
      </c>
    </row>
    <row r="365" spans="36:37" ht="15" customHeight="1" x14ac:dyDescent="0.2">
      <c r="AJ365" s="42">
        <f t="shared" si="31"/>
        <v>357</v>
      </c>
      <c r="AK365" s="64">
        <f t="shared" si="30"/>
        <v>0</v>
      </c>
    </row>
    <row r="366" spans="36:37" ht="15" customHeight="1" x14ac:dyDescent="0.2">
      <c r="AJ366" s="42">
        <f t="shared" si="31"/>
        <v>358</v>
      </c>
      <c r="AK366" s="64">
        <f t="shared" si="30"/>
        <v>0</v>
      </c>
    </row>
    <row r="367" spans="36:37" ht="15" customHeight="1" x14ac:dyDescent="0.2">
      <c r="AJ367" s="42">
        <f t="shared" si="31"/>
        <v>359</v>
      </c>
      <c r="AK367" s="64">
        <f t="shared" si="30"/>
        <v>0</v>
      </c>
    </row>
    <row r="368" spans="36:37" ht="15" customHeight="1" x14ac:dyDescent="0.2">
      <c r="AJ368" s="42">
        <f t="shared" si="31"/>
        <v>360</v>
      </c>
      <c r="AK368" s="64">
        <f t="shared" si="30"/>
        <v>0</v>
      </c>
    </row>
    <row r="369" spans="36:37" ht="15" customHeight="1" x14ac:dyDescent="0.2">
      <c r="AJ369" s="42">
        <f t="shared" si="31"/>
        <v>361</v>
      </c>
      <c r="AK369" s="64">
        <f t="shared" si="30"/>
        <v>0</v>
      </c>
    </row>
    <row r="370" spans="36:37" ht="15" customHeight="1" x14ac:dyDescent="0.2">
      <c r="AJ370" s="42">
        <f t="shared" si="31"/>
        <v>362</v>
      </c>
      <c r="AK370" s="64">
        <f t="shared" si="30"/>
        <v>0</v>
      </c>
    </row>
    <row r="371" spans="36:37" ht="15" customHeight="1" x14ac:dyDescent="0.2">
      <c r="AJ371" s="42">
        <f t="shared" si="31"/>
        <v>363</v>
      </c>
      <c r="AK371" s="64">
        <f t="shared" si="30"/>
        <v>0</v>
      </c>
    </row>
    <row r="372" spans="36:37" ht="15" customHeight="1" x14ac:dyDescent="0.2">
      <c r="AJ372" s="42">
        <f t="shared" si="31"/>
        <v>364</v>
      </c>
      <c r="AK372" s="64">
        <f t="shared" si="30"/>
        <v>0</v>
      </c>
    </row>
    <row r="373" spans="36:37" ht="15" customHeight="1" x14ac:dyDescent="0.2">
      <c r="AJ373" s="42">
        <f t="shared" si="31"/>
        <v>365</v>
      </c>
      <c r="AK373" s="64">
        <f t="shared" si="30"/>
        <v>0</v>
      </c>
    </row>
    <row r="374" spans="36:37" ht="15" customHeight="1" x14ac:dyDescent="0.2">
      <c r="AJ374" s="42">
        <f t="shared" si="31"/>
        <v>366</v>
      </c>
      <c r="AK374" s="64">
        <f t="shared" si="30"/>
        <v>0</v>
      </c>
    </row>
    <row r="375" spans="36:37" ht="15" customHeight="1" x14ac:dyDescent="0.2">
      <c r="AJ375" s="42">
        <f t="shared" si="31"/>
        <v>367</v>
      </c>
      <c r="AK375" s="64">
        <f t="shared" si="30"/>
        <v>0</v>
      </c>
    </row>
    <row r="376" spans="36:37" ht="15" customHeight="1" x14ac:dyDescent="0.2">
      <c r="AJ376" s="42">
        <f t="shared" si="31"/>
        <v>368</v>
      </c>
      <c r="AK376" s="64">
        <f t="shared" si="30"/>
        <v>0</v>
      </c>
    </row>
    <row r="377" spans="36:37" ht="15" customHeight="1" x14ac:dyDescent="0.2">
      <c r="AJ377" s="42">
        <f t="shared" si="31"/>
        <v>369</v>
      </c>
      <c r="AK377" s="64">
        <f t="shared" si="30"/>
        <v>0</v>
      </c>
    </row>
    <row r="378" spans="36:37" ht="15" customHeight="1" x14ac:dyDescent="0.2">
      <c r="AJ378" s="42">
        <f t="shared" si="31"/>
        <v>370</v>
      </c>
      <c r="AK378" s="64">
        <f t="shared" si="30"/>
        <v>0</v>
      </c>
    </row>
    <row r="379" spans="36:37" ht="15" customHeight="1" x14ac:dyDescent="0.2">
      <c r="AJ379" s="42">
        <f t="shared" si="31"/>
        <v>371</v>
      </c>
      <c r="AK379" s="64">
        <f t="shared" si="30"/>
        <v>0</v>
      </c>
    </row>
    <row r="380" spans="36:37" ht="15" customHeight="1" x14ac:dyDescent="0.2">
      <c r="AJ380" s="42">
        <f t="shared" si="31"/>
        <v>372</v>
      </c>
      <c r="AK380" s="64">
        <f t="shared" si="30"/>
        <v>0</v>
      </c>
    </row>
    <row r="381" spans="36:37" ht="15" customHeight="1" x14ac:dyDescent="0.2">
      <c r="AJ381" s="42">
        <f t="shared" si="31"/>
        <v>373</v>
      </c>
      <c r="AK381" s="64">
        <f t="shared" si="30"/>
        <v>0</v>
      </c>
    </row>
    <row r="382" spans="36:37" ht="15" customHeight="1" x14ac:dyDescent="0.2">
      <c r="AJ382" s="42">
        <f t="shared" si="31"/>
        <v>374</v>
      </c>
      <c r="AK382" s="64">
        <f t="shared" si="30"/>
        <v>0</v>
      </c>
    </row>
    <row r="383" spans="36:37" ht="15" customHeight="1" x14ac:dyDescent="0.2">
      <c r="AJ383" s="42">
        <f t="shared" si="31"/>
        <v>375</v>
      </c>
      <c r="AK383" s="64">
        <f t="shared" si="30"/>
        <v>0</v>
      </c>
    </row>
    <row r="384" spans="36:37" ht="15" customHeight="1" x14ac:dyDescent="0.2">
      <c r="AJ384" s="42">
        <f t="shared" si="31"/>
        <v>376</v>
      </c>
      <c r="AK384" s="64">
        <f t="shared" si="30"/>
        <v>0</v>
      </c>
    </row>
    <row r="385" spans="36:37" ht="15" customHeight="1" x14ac:dyDescent="0.2">
      <c r="AJ385" s="42">
        <f t="shared" si="31"/>
        <v>377</v>
      </c>
      <c r="AK385" s="64">
        <f t="shared" si="30"/>
        <v>0</v>
      </c>
    </row>
    <row r="386" spans="36:37" ht="15" customHeight="1" x14ac:dyDescent="0.2">
      <c r="AJ386" s="42">
        <f t="shared" si="31"/>
        <v>378</v>
      </c>
      <c r="AK386" s="64">
        <f t="shared" si="30"/>
        <v>0</v>
      </c>
    </row>
    <row r="387" spans="36:37" ht="15" customHeight="1" x14ac:dyDescent="0.2">
      <c r="AJ387" s="42">
        <f t="shared" si="31"/>
        <v>379</v>
      </c>
      <c r="AK387" s="64">
        <f t="shared" si="30"/>
        <v>0</v>
      </c>
    </row>
    <row r="388" spans="36:37" ht="15" customHeight="1" x14ac:dyDescent="0.2">
      <c r="AJ388" s="42">
        <f t="shared" si="31"/>
        <v>380</v>
      </c>
      <c r="AK388" s="64">
        <f t="shared" si="30"/>
        <v>0</v>
      </c>
    </row>
    <row r="389" spans="36:37" ht="15" customHeight="1" x14ac:dyDescent="0.2">
      <c r="AJ389" s="42">
        <f t="shared" si="31"/>
        <v>381</v>
      </c>
      <c r="AK389" s="64">
        <f t="shared" si="30"/>
        <v>0</v>
      </c>
    </row>
    <row r="390" spans="36:37" ht="15" customHeight="1" x14ac:dyDescent="0.2">
      <c r="AJ390" s="42">
        <f t="shared" si="31"/>
        <v>382</v>
      </c>
      <c r="AK390" s="64">
        <f t="shared" si="30"/>
        <v>0</v>
      </c>
    </row>
    <row r="391" spans="36:37" ht="15" customHeight="1" x14ac:dyDescent="0.2">
      <c r="AJ391" s="42">
        <f t="shared" si="31"/>
        <v>383</v>
      </c>
      <c r="AK391" s="64">
        <f t="shared" si="30"/>
        <v>0</v>
      </c>
    </row>
    <row r="392" spans="36:37" ht="15" customHeight="1" x14ac:dyDescent="0.2">
      <c r="AJ392" s="42">
        <f t="shared" si="31"/>
        <v>384</v>
      </c>
      <c r="AK392" s="64">
        <f t="shared" si="30"/>
        <v>0</v>
      </c>
    </row>
    <row r="393" spans="36:37" ht="15" customHeight="1" x14ac:dyDescent="0.2">
      <c r="AJ393" s="42">
        <f t="shared" si="31"/>
        <v>385</v>
      </c>
      <c r="AK393" s="64">
        <f t="shared" si="30"/>
        <v>0</v>
      </c>
    </row>
    <row r="394" spans="36:37" ht="15" customHeight="1" x14ac:dyDescent="0.2">
      <c r="AJ394" s="42">
        <f t="shared" si="31"/>
        <v>386</v>
      </c>
      <c r="AK394" s="64">
        <f t="shared" ref="AK394:AK443" si="32">AP394</f>
        <v>0</v>
      </c>
    </row>
    <row r="395" spans="36:37" ht="15" customHeight="1" x14ac:dyDescent="0.2">
      <c r="AJ395" s="42">
        <f t="shared" ref="AJ395:AJ443" si="33">AJ394+1</f>
        <v>387</v>
      </c>
      <c r="AK395" s="64">
        <f t="shared" si="32"/>
        <v>0</v>
      </c>
    </row>
    <row r="396" spans="36:37" ht="15" customHeight="1" x14ac:dyDescent="0.2">
      <c r="AJ396" s="42">
        <f t="shared" si="33"/>
        <v>388</v>
      </c>
      <c r="AK396" s="64">
        <f t="shared" si="32"/>
        <v>0</v>
      </c>
    </row>
    <row r="397" spans="36:37" ht="15" customHeight="1" x14ac:dyDescent="0.2">
      <c r="AJ397" s="42">
        <f t="shared" si="33"/>
        <v>389</v>
      </c>
      <c r="AK397" s="64">
        <f t="shared" si="32"/>
        <v>0</v>
      </c>
    </row>
    <row r="398" spans="36:37" ht="15" customHeight="1" x14ac:dyDescent="0.2">
      <c r="AJ398" s="42">
        <f t="shared" si="33"/>
        <v>390</v>
      </c>
      <c r="AK398" s="64">
        <f t="shared" si="32"/>
        <v>0</v>
      </c>
    </row>
    <row r="399" spans="36:37" ht="15" customHeight="1" x14ac:dyDescent="0.2">
      <c r="AJ399" s="42">
        <f t="shared" si="33"/>
        <v>391</v>
      </c>
      <c r="AK399" s="64">
        <f t="shared" si="32"/>
        <v>0</v>
      </c>
    </row>
    <row r="400" spans="36:37" ht="15" customHeight="1" x14ac:dyDescent="0.2">
      <c r="AJ400" s="42">
        <f t="shared" si="33"/>
        <v>392</v>
      </c>
      <c r="AK400" s="64">
        <f t="shared" si="32"/>
        <v>0</v>
      </c>
    </row>
    <row r="401" spans="36:37" ht="15" customHeight="1" x14ac:dyDescent="0.2">
      <c r="AJ401" s="42">
        <f t="shared" si="33"/>
        <v>393</v>
      </c>
      <c r="AK401" s="64">
        <f t="shared" si="32"/>
        <v>0</v>
      </c>
    </row>
    <row r="402" spans="36:37" ht="15" customHeight="1" x14ac:dyDescent="0.2">
      <c r="AJ402" s="42">
        <f t="shared" si="33"/>
        <v>394</v>
      </c>
      <c r="AK402" s="64">
        <f t="shared" si="32"/>
        <v>0</v>
      </c>
    </row>
    <row r="403" spans="36:37" ht="15" customHeight="1" x14ac:dyDescent="0.2">
      <c r="AJ403" s="42">
        <f t="shared" si="33"/>
        <v>395</v>
      </c>
      <c r="AK403" s="64">
        <f t="shared" si="32"/>
        <v>0</v>
      </c>
    </row>
    <row r="404" spans="36:37" ht="15" customHeight="1" x14ac:dyDescent="0.2">
      <c r="AJ404" s="42">
        <f t="shared" si="33"/>
        <v>396</v>
      </c>
      <c r="AK404" s="64">
        <f t="shared" si="32"/>
        <v>0</v>
      </c>
    </row>
    <row r="405" spans="36:37" ht="15" customHeight="1" x14ac:dyDescent="0.2">
      <c r="AJ405" s="42">
        <f t="shared" si="33"/>
        <v>397</v>
      </c>
      <c r="AK405" s="64">
        <f t="shared" si="32"/>
        <v>0</v>
      </c>
    </row>
    <row r="406" spans="36:37" ht="15" customHeight="1" x14ac:dyDescent="0.2">
      <c r="AJ406" s="42">
        <f t="shared" si="33"/>
        <v>398</v>
      </c>
      <c r="AK406" s="64">
        <f t="shared" si="32"/>
        <v>0</v>
      </c>
    </row>
    <row r="407" spans="36:37" ht="15" customHeight="1" x14ac:dyDescent="0.2">
      <c r="AJ407" s="42">
        <f t="shared" si="33"/>
        <v>399</v>
      </c>
      <c r="AK407" s="64">
        <f t="shared" si="32"/>
        <v>0</v>
      </c>
    </row>
    <row r="408" spans="36:37" ht="15" customHeight="1" x14ac:dyDescent="0.2">
      <c r="AJ408" s="42">
        <f t="shared" si="33"/>
        <v>400</v>
      </c>
      <c r="AK408" s="64">
        <f t="shared" si="32"/>
        <v>0</v>
      </c>
    </row>
    <row r="409" spans="36:37" ht="15" customHeight="1" x14ac:dyDescent="0.2">
      <c r="AJ409" s="42">
        <f t="shared" si="33"/>
        <v>401</v>
      </c>
      <c r="AK409" s="64">
        <f t="shared" si="32"/>
        <v>0</v>
      </c>
    </row>
    <row r="410" spans="36:37" ht="15" customHeight="1" x14ac:dyDescent="0.2">
      <c r="AJ410" s="42">
        <f t="shared" si="33"/>
        <v>402</v>
      </c>
      <c r="AK410" s="64">
        <f t="shared" si="32"/>
        <v>0</v>
      </c>
    </row>
    <row r="411" spans="36:37" ht="15" customHeight="1" x14ac:dyDescent="0.2">
      <c r="AJ411" s="42">
        <f t="shared" si="33"/>
        <v>403</v>
      </c>
      <c r="AK411" s="64">
        <f t="shared" si="32"/>
        <v>0</v>
      </c>
    </row>
    <row r="412" spans="36:37" ht="15" customHeight="1" x14ac:dyDescent="0.2">
      <c r="AJ412" s="42">
        <f t="shared" si="33"/>
        <v>404</v>
      </c>
      <c r="AK412" s="64">
        <f t="shared" si="32"/>
        <v>0</v>
      </c>
    </row>
    <row r="413" spans="36:37" ht="15" customHeight="1" x14ac:dyDescent="0.2">
      <c r="AJ413" s="42">
        <f t="shared" si="33"/>
        <v>405</v>
      </c>
      <c r="AK413" s="64">
        <f t="shared" si="32"/>
        <v>0</v>
      </c>
    </row>
    <row r="414" spans="36:37" ht="15" customHeight="1" x14ac:dyDescent="0.2">
      <c r="AJ414" s="42">
        <f t="shared" si="33"/>
        <v>406</v>
      </c>
      <c r="AK414" s="64">
        <f t="shared" si="32"/>
        <v>0</v>
      </c>
    </row>
    <row r="415" spans="36:37" ht="15" customHeight="1" x14ac:dyDescent="0.2">
      <c r="AJ415" s="42">
        <f t="shared" si="33"/>
        <v>407</v>
      </c>
      <c r="AK415" s="64">
        <f t="shared" si="32"/>
        <v>0</v>
      </c>
    </row>
    <row r="416" spans="36:37" ht="15" customHeight="1" x14ac:dyDescent="0.2">
      <c r="AJ416" s="42">
        <f t="shared" si="33"/>
        <v>408</v>
      </c>
      <c r="AK416" s="64">
        <f t="shared" si="32"/>
        <v>0</v>
      </c>
    </row>
    <row r="417" spans="36:37" ht="15" customHeight="1" x14ac:dyDescent="0.2">
      <c r="AJ417" s="42">
        <f t="shared" si="33"/>
        <v>409</v>
      </c>
      <c r="AK417" s="64">
        <f t="shared" si="32"/>
        <v>0</v>
      </c>
    </row>
    <row r="418" spans="36:37" ht="15" customHeight="1" x14ac:dyDescent="0.2">
      <c r="AJ418" s="42">
        <f t="shared" si="33"/>
        <v>410</v>
      </c>
      <c r="AK418" s="64">
        <f t="shared" si="32"/>
        <v>0</v>
      </c>
    </row>
    <row r="419" spans="36:37" ht="15" customHeight="1" x14ac:dyDescent="0.2">
      <c r="AJ419" s="42">
        <f t="shared" si="33"/>
        <v>411</v>
      </c>
      <c r="AK419" s="64">
        <f t="shared" si="32"/>
        <v>0</v>
      </c>
    </row>
    <row r="420" spans="36:37" ht="15" customHeight="1" x14ac:dyDescent="0.2">
      <c r="AJ420" s="42">
        <f t="shared" si="33"/>
        <v>412</v>
      </c>
      <c r="AK420" s="64">
        <f t="shared" si="32"/>
        <v>0</v>
      </c>
    </row>
    <row r="421" spans="36:37" ht="15" customHeight="1" x14ac:dyDescent="0.2">
      <c r="AJ421" s="42">
        <f t="shared" si="33"/>
        <v>413</v>
      </c>
      <c r="AK421" s="64">
        <f t="shared" si="32"/>
        <v>0</v>
      </c>
    </row>
    <row r="422" spans="36:37" ht="15" customHeight="1" x14ac:dyDescent="0.2">
      <c r="AJ422" s="42">
        <f t="shared" si="33"/>
        <v>414</v>
      </c>
      <c r="AK422" s="64">
        <f t="shared" si="32"/>
        <v>0</v>
      </c>
    </row>
    <row r="423" spans="36:37" ht="15" customHeight="1" x14ac:dyDescent="0.2">
      <c r="AJ423" s="42">
        <f t="shared" si="33"/>
        <v>415</v>
      </c>
      <c r="AK423" s="64">
        <f t="shared" si="32"/>
        <v>0</v>
      </c>
    </row>
    <row r="424" spans="36:37" ht="15" customHeight="1" x14ac:dyDescent="0.2">
      <c r="AJ424" s="42">
        <f t="shared" si="33"/>
        <v>416</v>
      </c>
      <c r="AK424" s="64">
        <f t="shared" si="32"/>
        <v>0</v>
      </c>
    </row>
    <row r="425" spans="36:37" ht="15" customHeight="1" x14ac:dyDescent="0.2">
      <c r="AJ425" s="42">
        <f t="shared" si="33"/>
        <v>417</v>
      </c>
      <c r="AK425" s="64">
        <f t="shared" si="32"/>
        <v>0</v>
      </c>
    </row>
    <row r="426" spans="36:37" ht="15" customHeight="1" x14ac:dyDescent="0.2">
      <c r="AJ426" s="42">
        <f t="shared" si="33"/>
        <v>418</v>
      </c>
      <c r="AK426" s="64">
        <f t="shared" si="32"/>
        <v>0</v>
      </c>
    </row>
    <row r="427" spans="36:37" ht="15" customHeight="1" x14ac:dyDescent="0.2">
      <c r="AJ427" s="42">
        <f t="shared" si="33"/>
        <v>419</v>
      </c>
      <c r="AK427" s="64">
        <f t="shared" si="32"/>
        <v>0</v>
      </c>
    </row>
    <row r="428" spans="36:37" ht="15" customHeight="1" x14ac:dyDescent="0.2">
      <c r="AJ428" s="42">
        <f t="shared" si="33"/>
        <v>420</v>
      </c>
      <c r="AK428" s="64">
        <f t="shared" si="32"/>
        <v>0</v>
      </c>
    </row>
    <row r="429" spans="36:37" ht="15" customHeight="1" x14ac:dyDescent="0.2">
      <c r="AJ429" s="42">
        <f t="shared" si="33"/>
        <v>421</v>
      </c>
      <c r="AK429" s="64">
        <f t="shared" si="32"/>
        <v>0</v>
      </c>
    </row>
    <row r="430" spans="36:37" ht="15" customHeight="1" x14ac:dyDescent="0.2">
      <c r="AJ430" s="42">
        <f t="shared" si="33"/>
        <v>422</v>
      </c>
      <c r="AK430" s="64">
        <f t="shared" si="32"/>
        <v>0</v>
      </c>
    </row>
    <row r="431" spans="36:37" ht="15" customHeight="1" x14ac:dyDescent="0.2">
      <c r="AJ431" s="42">
        <f t="shared" si="33"/>
        <v>423</v>
      </c>
      <c r="AK431" s="64">
        <f t="shared" si="32"/>
        <v>0</v>
      </c>
    </row>
    <row r="432" spans="36:37" ht="15" customHeight="1" x14ac:dyDescent="0.2">
      <c r="AJ432" s="42">
        <f t="shared" si="33"/>
        <v>424</v>
      </c>
      <c r="AK432" s="64">
        <f t="shared" si="32"/>
        <v>0</v>
      </c>
    </row>
    <row r="433" spans="36:37" ht="15" customHeight="1" x14ac:dyDescent="0.2">
      <c r="AJ433" s="42">
        <f t="shared" si="33"/>
        <v>425</v>
      </c>
      <c r="AK433" s="64">
        <f t="shared" si="32"/>
        <v>0</v>
      </c>
    </row>
    <row r="434" spans="36:37" ht="15" customHeight="1" x14ac:dyDescent="0.2">
      <c r="AJ434" s="42">
        <f t="shared" si="33"/>
        <v>426</v>
      </c>
      <c r="AK434" s="64">
        <f t="shared" si="32"/>
        <v>0</v>
      </c>
    </row>
    <row r="435" spans="36:37" ht="15" customHeight="1" x14ac:dyDescent="0.2">
      <c r="AJ435" s="42">
        <f t="shared" si="33"/>
        <v>427</v>
      </c>
      <c r="AK435" s="64">
        <f t="shared" si="32"/>
        <v>0</v>
      </c>
    </row>
    <row r="436" spans="36:37" ht="15" customHeight="1" x14ac:dyDescent="0.2">
      <c r="AJ436" s="42">
        <f t="shared" si="33"/>
        <v>428</v>
      </c>
      <c r="AK436" s="64">
        <f t="shared" si="32"/>
        <v>0</v>
      </c>
    </row>
    <row r="437" spans="36:37" ht="15" customHeight="1" x14ac:dyDescent="0.2">
      <c r="AJ437" s="42">
        <f t="shared" si="33"/>
        <v>429</v>
      </c>
      <c r="AK437" s="64">
        <f t="shared" si="32"/>
        <v>0</v>
      </c>
    </row>
    <row r="438" spans="36:37" ht="15" customHeight="1" x14ac:dyDescent="0.2">
      <c r="AJ438" s="42">
        <f t="shared" si="33"/>
        <v>430</v>
      </c>
      <c r="AK438" s="64">
        <f t="shared" si="32"/>
        <v>0</v>
      </c>
    </row>
    <row r="439" spans="36:37" ht="15" customHeight="1" x14ac:dyDescent="0.2">
      <c r="AJ439" s="42">
        <f t="shared" si="33"/>
        <v>431</v>
      </c>
      <c r="AK439" s="64">
        <f t="shared" si="32"/>
        <v>0</v>
      </c>
    </row>
    <row r="440" spans="36:37" ht="15" customHeight="1" x14ac:dyDescent="0.2">
      <c r="AJ440" s="42">
        <f t="shared" si="33"/>
        <v>432</v>
      </c>
      <c r="AK440" s="64">
        <f t="shared" si="32"/>
        <v>0</v>
      </c>
    </row>
    <row r="441" spans="36:37" ht="15" customHeight="1" x14ac:dyDescent="0.2">
      <c r="AJ441" s="42">
        <f t="shared" si="33"/>
        <v>433</v>
      </c>
      <c r="AK441" s="64">
        <f t="shared" si="32"/>
        <v>0</v>
      </c>
    </row>
    <row r="442" spans="36:37" ht="15" customHeight="1" x14ac:dyDescent="0.2">
      <c r="AJ442" s="42">
        <f t="shared" si="33"/>
        <v>434</v>
      </c>
      <c r="AK442" s="64">
        <f t="shared" si="32"/>
        <v>0</v>
      </c>
    </row>
    <row r="443" spans="36:37" ht="15" customHeight="1" x14ac:dyDescent="0.2">
      <c r="AJ443" s="42">
        <f t="shared" si="33"/>
        <v>435</v>
      </c>
      <c r="AK443" s="64">
        <f t="shared" si="32"/>
        <v>0</v>
      </c>
    </row>
  </sheetData>
  <phoneticPr fontId="4" type="noConversion"/>
  <pageMargins left="0.75" right="0.75" top="1" bottom="1" header="0.5" footer="0.5"/>
  <pageSetup scale="1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4"/>
    <pageSetUpPr fitToPage="1"/>
  </sheetPr>
  <dimension ref="A1:E44"/>
  <sheetViews>
    <sheetView tabSelected="1" zoomScale="90" zoomScaleNormal="90" workbookViewId="0">
      <selection activeCell="D6" sqref="D6"/>
    </sheetView>
  </sheetViews>
  <sheetFormatPr defaultColWidth="9.140625" defaultRowHeight="12.75" x14ac:dyDescent="0.2"/>
  <cols>
    <col min="1" max="1" width="10.42578125" style="1" bestFit="1" customWidth="1"/>
    <col min="2" max="2" width="80" style="1" customWidth="1"/>
    <col min="3" max="3" width="1.7109375" style="1" customWidth="1"/>
    <col min="4" max="4" width="13.7109375" style="1" customWidth="1"/>
    <col min="5" max="5" width="9.28515625" style="1" customWidth="1"/>
    <col min="6" max="6" width="18.42578125" style="1" bestFit="1" customWidth="1"/>
    <col min="7" max="10" width="9.28515625" style="1" customWidth="1"/>
    <col min="11" max="12" width="9.140625" style="1"/>
    <col min="13" max="13" width="10.28515625" style="1" customWidth="1"/>
    <col min="14" max="14" width="10.42578125" style="1" customWidth="1"/>
    <col min="15" max="15" width="13.5703125" style="1" bestFit="1" customWidth="1"/>
    <col min="16" max="19" width="10" style="1" customWidth="1"/>
    <col min="20" max="20" width="11.85546875" style="1" customWidth="1"/>
    <col min="21" max="22" width="12.42578125" style="1" customWidth="1"/>
    <col min="23" max="23" width="13" style="1" customWidth="1"/>
    <col min="24" max="24" width="11.5703125" style="1" customWidth="1"/>
    <col min="25" max="25" width="10.5703125" style="1" customWidth="1"/>
    <col min="26" max="26" width="11" style="1" customWidth="1"/>
    <col min="27" max="27" width="12" style="1" customWidth="1"/>
    <col min="28" max="28" width="10.5703125" style="1" customWidth="1"/>
    <col min="29" max="29" width="10.28515625" style="1" customWidth="1"/>
    <col min="30" max="30" width="11.85546875" style="1" customWidth="1"/>
    <col min="31" max="16384" width="9.140625" style="1"/>
  </cols>
  <sheetData>
    <row r="1" spans="1:5" ht="15" x14ac:dyDescent="0.2">
      <c r="A1" s="449" t="s">
        <v>85</v>
      </c>
      <c r="B1" s="449"/>
      <c r="C1" s="449"/>
      <c r="D1" s="449"/>
      <c r="E1" s="62"/>
    </row>
    <row r="2" spans="1:5" ht="15" x14ac:dyDescent="0.2">
      <c r="A2" s="449" t="s">
        <v>86</v>
      </c>
      <c r="B2" s="449"/>
      <c r="C2" s="449"/>
      <c r="D2" s="449"/>
      <c r="E2" s="62"/>
    </row>
    <row r="3" spans="1:5" ht="15" x14ac:dyDescent="0.2">
      <c r="A3" s="62"/>
    </row>
    <row r="5" spans="1:5" ht="13.5" thickBot="1" x14ac:dyDescent="0.25">
      <c r="B5" s="70" t="s">
        <v>84</v>
      </c>
      <c r="C5" s="3"/>
    </row>
    <row r="6" spans="1:5" x14ac:dyDescent="0.2">
      <c r="B6" s="71" t="s">
        <v>18</v>
      </c>
      <c r="C6" s="71"/>
      <c r="D6" s="65">
        <v>2025</v>
      </c>
    </row>
    <row r="7" spans="1:5" x14ac:dyDescent="0.2">
      <c r="B7" s="72" t="str">
        <f>CONCATENATE("Enter a Policy Year between ",'Burden Inputs'!A25," and ",'Burden Inputs'!A16,".")</f>
        <v>Enter a Policy Year between 2016 and 2025.</v>
      </c>
      <c r="C7" s="71"/>
      <c r="D7" s="69"/>
    </row>
    <row r="8" spans="1:5" x14ac:dyDescent="0.2">
      <c r="B8" s="71" t="s">
        <v>203</v>
      </c>
      <c r="C8" s="71"/>
      <c r="D8" s="67">
        <v>0.8</v>
      </c>
    </row>
    <row r="9" spans="1:5" x14ac:dyDescent="0.2">
      <c r="B9" s="73" t="str">
        <f>CONCATENATE("The current NCCI PY ",D6," Residual Market Loss Ratio estimate is ",ROUND(100*VLOOKUP(D6,'Exhibit 2'!B5:L14,2,FALSE),2),"%.")</f>
        <v>The current NCCI PY 2025 Residual Market Loss Ratio estimate is 80%.</v>
      </c>
      <c r="C9" s="73"/>
    </row>
    <row r="10" spans="1:5" x14ac:dyDescent="0.2">
      <c r="B10" s="74" t="s">
        <v>78</v>
      </c>
      <c r="C10" s="74"/>
      <c r="D10" s="68">
        <v>1</v>
      </c>
    </row>
    <row r="11" spans="1:5" x14ac:dyDescent="0.2">
      <c r="B11" s="75" t="str">
        <f>CONCATENATE("The current NCCI PY ",D6," Leveraging Factor estimate is ",ROUND(100*VLOOKUP(D6,'Exhibit 2'!B5:L14,10, FALSE),2),"% based on a ",ROUND(VLOOKUP(D6,'Exhibit 2'!B5:L14,8,FALSE),4)," VDAC Factor.")</f>
        <v>The current NCCI PY 2025 Leveraging Factor estimate is 13.6% based on a 1 VDAC Factor.</v>
      </c>
      <c r="C11" s="75"/>
    </row>
    <row r="12" spans="1:5" x14ac:dyDescent="0.2">
      <c r="B12" s="71" t="s">
        <v>46</v>
      </c>
      <c r="C12" s="71"/>
      <c r="D12" s="66">
        <v>0</v>
      </c>
    </row>
    <row r="13" spans="1:5" x14ac:dyDescent="0.2">
      <c r="B13" s="72" t="s">
        <v>239</v>
      </c>
    </row>
    <row r="15" spans="1:5" ht="13.5" thickBot="1" x14ac:dyDescent="0.25">
      <c r="B15" s="70" t="s">
        <v>54</v>
      </c>
      <c r="C15" s="3"/>
    </row>
    <row r="16" spans="1:5" x14ac:dyDescent="0.2">
      <c r="A16" s="4" t="s">
        <v>11</v>
      </c>
      <c r="B16" s="1" t="s">
        <v>55</v>
      </c>
      <c r="D16" s="47">
        <v>1</v>
      </c>
    </row>
    <row r="17" spans="1:4" x14ac:dyDescent="0.2">
      <c r="A17" s="4" t="s">
        <v>12</v>
      </c>
      <c r="B17" s="1" t="s">
        <v>56</v>
      </c>
      <c r="D17" s="47">
        <f>'Web - Disc Fact Premium'!C51</f>
        <v>1</v>
      </c>
    </row>
    <row r="18" spans="1:4" x14ac:dyDescent="0.2">
      <c r="A18" s="4" t="s">
        <v>13</v>
      </c>
      <c r="B18" s="1" t="s">
        <v>57</v>
      </c>
      <c r="D18" s="47">
        <f>D16*D17</f>
        <v>1</v>
      </c>
    </row>
    <row r="19" spans="1:4" x14ac:dyDescent="0.2">
      <c r="A19" s="4"/>
      <c r="D19" s="47"/>
    </row>
    <row r="20" spans="1:4" ht="13.5" thickBot="1" x14ac:dyDescent="0.25">
      <c r="A20" s="4"/>
      <c r="B20" s="70" t="s">
        <v>58</v>
      </c>
      <c r="C20" s="3"/>
      <c r="D20" s="2"/>
    </row>
    <row r="21" spans="1:4" x14ac:dyDescent="0.2">
      <c r="A21" s="4" t="s">
        <v>14</v>
      </c>
      <c r="B21" s="1" t="s">
        <v>59</v>
      </c>
      <c r="D21" s="47">
        <f>D8</f>
        <v>0.8</v>
      </c>
    </row>
    <row r="22" spans="1:4" x14ac:dyDescent="0.2">
      <c r="A22" s="4" t="s">
        <v>15</v>
      </c>
      <c r="B22" s="1" t="s">
        <v>60</v>
      </c>
      <c r="D22" s="47">
        <f>'Web - Disc Fact Paid Loss'!AE59</f>
        <v>1.0000000000000002</v>
      </c>
    </row>
    <row r="23" spans="1:4" x14ac:dyDescent="0.2">
      <c r="A23" s="4" t="s">
        <v>16</v>
      </c>
      <c r="B23" s="1" t="s">
        <v>90</v>
      </c>
      <c r="D23" s="47">
        <f>ROUND(D21*D22,3)</f>
        <v>0.8</v>
      </c>
    </row>
    <row r="24" spans="1:4" x14ac:dyDescent="0.2">
      <c r="A24" s="2"/>
      <c r="D24" s="2"/>
    </row>
    <row r="25" spans="1:4" x14ac:dyDescent="0.2">
      <c r="A25" s="4" t="s">
        <v>17</v>
      </c>
      <c r="B25" s="1" t="s">
        <v>62</v>
      </c>
      <c r="D25" s="47">
        <f>VLOOKUP($D$6,'Exhibit 2'!B5:L14,4,FALSE)</f>
        <v>0.36670000000000003</v>
      </c>
    </row>
    <row r="26" spans="1:4" x14ac:dyDescent="0.2">
      <c r="A26" s="4" t="s">
        <v>63</v>
      </c>
      <c r="B26" s="1" t="s">
        <v>91</v>
      </c>
      <c r="D26" s="47">
        <f>D25*D17</f>
        <v>0.36670000000000003</v>
      </c>
    </row>
    <row r="27" spans="1:4" x14ac:dyDescent="0.2">
      <c r="A27" s="2"/>
      <c r="D27" s="2"/>
    </row>
    <row r="28" spans="1:4" ht="13.5" thickBot="1" x14ac:dyDescent="0.25">
      <c r="A28" s="2"/>
      <c r="B28" s="70" t="s">
        <v>83</v>
      </c>
      <c r="C28" s="3"/>
      <c r="D28" s="2"/>
    </row>
    <row r="29" spans="1:4" x14ac:dyDescent="0.2">
      <c r="A29" s="4" t="s">
        <v>65</v>
      </c>
      <c r="B29" s="1" t="s">
        <v>89</v>
      </c>
      <c r="D29" s="47">
        <f>D18-D23-D26</f>
        <v>-0.16670000000000007</v>
      </c>
    </row>
    <row r="30" spans="1:4" x14ac:dyDescent="0.2">
      <c r="A30" s="2"/>
      <c r="B30" s="72" t="s">
        <v>93</v>
      </c>
      <c r="D30" s="2"/>
    </row>
    <row r="31" spans="1:4" x14ac:dyDescent="0.2">
      <c r="A31" s="2"/>
      <c r="B31" s="72" t="s">
        <v>87</v>
      </c>
      <c r="D31" s="2"/>
    </row>
    <row r="33" spans="1:5" x14ac:dyDescent="0.2">
      <c r="A33" s="4" t="s">
        <v>68</v>
      </c>
      <c r="B33" s="1" t="s">
        <v>69</v>
      </c>
      <c r="D33" s="47">
        <f>(VLOOKUP(D6,'Burden Inputs'!A16:Q25,9,FALSE)/VLOOKUP('Web - Summary'!D6,'Burden Inputs'!A16:Q25,13,FALSE))*'Web - Summary'!D10</f>
        <v>0.13595228396107376</v>
      </c>
    </row>
    <row r="34" spans="1:5" x14ac:dyDescent="0.2">
      <c r="A34" s="2"/>
      <c r="B34" s="72" t="s">
        <v>94</v>
      </c>
      <c r="C34" s="72"/>
      <c r="D34" s="2"/>
    </row>
    <row r="35" spans="1:5" x14ac:dyDescent="0.2">
      <c r="A35" s="2"/>
      <c r="B35" s="76" t="str">
        <f>CONCATENATE("[ = ",DOLLAR(ROUND(VLOOKUP(D6,'Burden Inputs'!A16:Q25,9,FALSE),0))," / ",DOLLAR(VLOOKUP(D6,'Burden Inputs'!A16:Q25,13,FALSE)),"  x  ",'Web - Summary'!D10," = ", D33," ]")</f>
        <v>[ = $80,740,000.00 / $593,884,837.00  x  1 = 0.135952283961074 ]</v>
      </c>
      <c r="C35" s="76"/>
    </row>
    <row r="36" spans="1:5" x14ac:dyDescent="0.2">
      <c r="A36" s="2"/>
      <c r="D36" s="2"/>
    </row>
    <row r="37" spans="1:5" x14ac:dyDescent="0.2">
      <c r="A37" s="4" t="s">
        <v>70</v>
      </c>
      <c r="B37" s="1" t="s">
        <v>92</v>
      </c>
      <c r="D37" s="77">
        <f>-1*D29*D33</f>
        <v>2.2663245736311004E-2</v>
      </c>
      <c r="E37" s="9"/>
    </row>
    <row r="38" spans="1:5" x14ac:dyDescent="0.2">
      <c r="B38" s="53"/>
      <c r="C38" s="53"/>
      <c r="D38" s="9"/>
      <c r="E38" s="9"/>
    </row>
    <row r="39" spans="1:5" x14ac:dyDescent="0.2">
      <c r="A39" s="55"/>
      <c r="B39" s="79" t="s">
        <v>95</v>
      </c>
      <c r="C39" s="56"/>
      <c r="D39" s="1" t="s">
        <v>48</v>
      </c>
    </row>
    <row r="40" spans="1:5" x14ac:dyDescent="0.2">
      <c r="A40" s="78" t="s">
        <v>11</v>
      </c>
      <c r="B40" s="56" t="s">
        <v>72</v>
      </c>
      <c r="C40" s="56"/>
    </row>
    <row r="41" spans="1:5" x14ac:dyDescent="0.2">
      <c r="A41" s="78" t="s">
        <v>12</v>
      </c>
      <c r="B41" s="56" t="s">
        <v>345</v>
      </c>
      <c r="C41" s="56"/>
    </row>
    <row r="42" spans="1:5" x14ac:dyDescent="0.2">
      <c r="A42" s="78" t="s">
        <v>15</v>
      </c>
      <c r="B42" s="56" t="s">
        <v>343</v>
      </c>
      <c r="C42" s="56"/>
    </row>
    <row r="43" spans="1:5" x14ac:dyDescent="0.2">
      <c r="A43" s="428" t="s">
        <v>88</v>
      </c>
      <c r="B43" s="56" t="str">
        <f>CONCATENATE("Data from Special Bulletin "&amp;'Burden Inputs'!E39&amp;" issued on "&amp;TEXT('Burden Inputs'!G39, "mmm-dd-yyy")&amp;".")</f>
        <v>Data from Special Bulletin 07-26 issued on Jul-21-2026.</v>
      </c>
      <c r="C43" s="56"/>
    </row>
    <row r="44" spans="1:5" x14ac:dyDescent="0.2">
      <c r="A44" s="59"/>
      <c r="B44" s="56"/>
      <c r="C44" s="56"/>
    </row>
  </sheetData>
  <sheetProtection algorithmName="SHA-512" hashValue="BrenhybcbbMi8uiZ/w6MO37hFHi2gkCzBa4Y3okziTFbr6uaprgpxmpfOvFPF08hHUtm7glgCoiXTS0cEDhsMg==" saltValue="ik4wN7recjWc3LI8oxZJ9Q==" spinCount="100000" sheet="1" selectLockedCells="1"/>
  <mergeCells count="2">
    <mergeCell ref="A1:D1"/>
    <mergeCell ref="A2:D2"/>
  </mergeCells>
  <phoneticPr fontId="4" type="noConversion"/>
  <pageMargins left="0.5" right="0.5" top="0.5" bottom="0.5" header="0.5" footer="0.5"/>
  <pageSetup scale="10" orientation="portrait" horizontalDpi="1200" verticalDpi="1200" r:id="rId1"/>
  <headerFooter alignWithMargins="0"/>
  <ignoredErrors>
    <ignoredError sqref="A40:A42 A37 A32:A34 A16:A18 A19:A26 A27:A3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Line="0" autoPict="0">
                <anchor moveWithCells="1" sizeWithCells="1">
                  <from>
                    <xdr:col>3</xdr:col>
                    <xdr:colOff>342900</xdr:colOff>
                    <xdr:row>0</xdr:row>
                    <xdr:rowOff>0</xdr:rowOff>
                  </from>
                  <to>
                    <xdr:col>5</xdr:col>
                    <xdr:colOff>104775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4"/>
  </sheetPr>
  <dimension ref="A1:C51"/>
  <sheetViews>
    <sheetView topLeftCell="A42" zoomScale="80" zoomScaleNormal="80" workbookViewId="0">
      <selection activeCell="N45" sqref="N45"/>
    </sheetView>
  </sheetViews>
  <sheetFormatPr defaultColWidth="9.140625" defaultRowHeight="12.75" x14ac:dyDescent="0.2"/>
  <cols>
    <col min="1" max="1" width="15.140625" style="2" customWidth="1"/>
    <col min="2" max="3" width="15.140625" style="1" customWidth="1"/>
    <col min="4" max="4" width="9.7109375" style="1" customWidth="1"/>
    <col min="5" max="6" width="15.7109375" style="1" customWidth="1"/>
    <col min="7" max="7" width="13" style="1" customWidth="1"/>
    <col min="8" max="8" width="12.140625" style="1" customWidth="1"/>
    <col min="9" max="9" width="13" style="1" customWidth="1"/>
    <col min="10" max="11" width="10" style="1" customWidth="1"/>
    <col min="12" max="12" width="11.85546875" style="1" customWidth="1"/>
    <col min="13" max="13" width="14.140625" style="1" customWidth="1"/>
    <col min="14" max="14" width="11.85546875" style="1" customWidth="1"/>
    <col min="15" max="16" width="12" style="1" customWidth="1"/>
    <col min="17" max="17" width="13.7109375" style="1" customWidth="1"/>
    <col min="18" max="19" width="11.85546875" style="1" customWidth="1"/>
    <col min="20" max="20" width="12.140625" style="1" customWidth="1"/>
    <col min="21" max="16384" width="9.140625" style="1"/>
  </cols>
  <sheetData>
    <row r="1" spans="1:3" ht="15" x14ac:dyDescent="0.2">
      <c r="A1" s="6" t="s">
        <v>36</v>
      </c>
    </row>
    <row r="2" spans="1:3" x14ac:dyDescent="0.2">
      <c r="A2" s="8" t="s">
        <v>37</v>
      </c>
    </row>
    <row r="3" spans="1:3" x14ac:dyDescent="0.2">
      <c r="A3" s="8" t="s">
        <v>39</v>
      </c>
    </row>
    <row r="5" spans="1:3" x14ac:dyDescent="0.2">
      <c r="C5" s="9"/>
    </row>
    <row r="6" spans="1:3" x14ac:dyDescent="0.2">
      <c r="B6" s="9"/>
      <c r="C6" s="10" t="s">
        <v>40</v>
      </c>
    </row>
    <row r="7" spans="1:3" x14ac:dyDescent="0.2">
      <c r="B7" s="9" t="s">
        <v>41</v>
      </c>
      <c r="C7" s="9" t="s">
        <v>42</v>
      </c>
    </row>
    <row r="8" spans="1:3" ht="15" customHeight="1" x14ac:dyDescent="0.2">
      <c r="A8" s="11" t="s">
        <v>43</v>
      </c>
      <c r="B8" s="11" t="s">
        <v>44</v>
      </c>
      <c r="C8" s="12">
        <f>'Web - Summary'!D12</f>
        <v>0</v>
      </c>
    </row>
    <row r="9" spans="1:3" ht="3.75" customHeight="1" x14ac:dyDescent="0.2">
      <c r="A9" s="11"/>
      <c r="B9" s="11"/>
      <c r="C9" s="13"/>
    </row>
    <row r="10" spans="1:3" ht="15" customHeight="1" x14ac:dyDescent="0.2">
      <c r="A10" s="10">
        <v>0</v>
      </c>
      <c r="B10" s="362">
        <f>'Disc Fact Premium'!B10</f>
        <v>4.362754506820412E-2</v>
      </c>
      <c r="C10" s="15">
        <f t="shared" ref="C10:C50" si="0">B10/(1+$C$8)^(A10*0.25)</f>
        <v>4.362754506820412E-2</v>
      </c>
    </row>
    <row r="11" spans="1:3" ht="15" customHeight="1" x14ac:dyDescent="0.2">
      <c r="A11" s="10">
        <v>1</v>
      </c>
      <c r="B11" s="362">
        <f>'Disc Fact Premium'!B11</f>
        <v>0.3620743415085137</v>
      </c>
      <c r="C11" s="15">
        <f>B11/(1+$C$8)^(A11*0.25)</f>
        <v>0.3620743415085137</v>
      </c>
    </row>
    <row r="12" spans="1:3" ht="15" customHeight="1" x14ac:dyDescent="0.2">
      <c r="A12" s="21">
        <v>2</v>
      </c>
      <c r="B12" s="362">
        <f>'Disc Fact Premium'!B12</f>
        <v>0.24266805339007741</v>
      </c>
      <c r="C12" s="15">
        <f t="shared" si="0"/>
        <v>0.24266805339007741</v>
      </c>
    </row>
    <row r="13" spans="1:3" ht="15" customHeight="1" x14ac:dyDescent="0.2">
      <c r="A13" s="10">
        <v>3</v>
      </c>
      <c r="B13" s="362">
        <f>'Disc Fact Premium'!B13</f>
        <v>0.19147980039193963</v>
      </c>
      <c r="C13" s="15">
        <f t="shared" si="0"/>
        <v>0.19147980039193963</v>
      </c>
    </row>
    <row r="14" spans="1:3" ht="15" customHeight="1" x14ac:dyDescent="0.2">
      <c r="A14" s="21">
        <v>4</v>
      </c>
      <c r="B14" s="362">
        <f>'Disc Fact Premium'!B14</f>
        <v>5.7317985315951642E-2</v>
      </c>
      <c r="C14" s="15">
        <f t="shared" si="0"/>
        <v>5.7317985315951642E-2</v>
      </c>
    </row>
    <row r="15" spans="1:3" ht="15" customHeight="1" x14ac:dyDescent="0.2">
      <c r="A15" s="10">
        <v>5</v>
      </c>
      <c r="B15" s="362">
        <f>'Disc Fact Premium'!B15</f>
        <v>2.197676910763878E-2</v>
      </c>
      <c r="C15" s="15">
        <f t="shared" si="0"/>
        <v>2.197676910763878E-2</v>
      </c>
    </row>
    <row r="16" spans="1:3" ht="15" customHeight="1" x14ac:dyDescent="0.2">
      <c r="A16" s="21">
        <v>6</v>
      </c>
      <c r="B16" s="362">
        <f>'Disc Fact Premium'!B16</f>
        <v>4.1046521796180124E-2</v>
      </c>
      <c r="C16" s="15">
        <f t="shared" si="0"/>
        <v>4.1046521796180124E-2</v>
      </c>
    </row>
    <row r="17" spans="1:3" ht="15" customHeight="1" x14ac:dyDescent="0.2">
      <c r="A17" s="10">
        <v>7</v>
      </c>
      <c r="B17" s="362">
        <f>'Disc Fact Premium'!B17</f>
        <v>2.0514749606089736E-2</v>
      </c>
      <c r="C17" s="15">
        <f t="shared" si="0"/>
        <v>2.0514749606089736E-2</v>
      </c>
    </row>
    <row r="18" spans="1:3" ht="15" customHeight="1" x14ac:dyDescent="0.2">
      <c r="A18" s="21">
        <v>8</v>
      </c>
      <c r="B18" s="362">
        <f>'Disc Fact Premium'!B18</f>
        <v>1.1522339704634158E-2</v>
      </c>
      <c r="C18" s="15">
        <f t="shared" si="0"/>
        <v>1.1522339704634158E-2</v>
      </c>
    </row>
    <row r="19" spans="1:3" ht="15" customHeight="1" x14ac:dyDescent="0.2">
      <c r="A19" s="10">
        <v>9</v>
      </c>
      <c r="B19" s="362">
        <f>'Disc Fact Premium'!B19</f>
        <v>7.7718941107706302E-3</v>
      </c>
      <c r="C19" s="15">
        <f t="shared" si="0"/>
        <v>7.7718941107706302E-3</v>
      </c>
    </row>
    <row r="20" spans="1:3" ht="15" customHeight="1" x14ac:dyDescent="0.2">
      <c r="A20" s="21">
        <v>10</v>
      </c>
      <c r="B20" s="362">
        <f>'Disc Fact Premium'!B20</f>
        <v>0</v>
      </c>
      <c r="C20" s="15">
        <f t="shared" si="0"/>
        <v>0</v>
      </c>
    </row>
    <row r="21" spans="1:3" ht="15" customHeight="1" x14ac:dyDescent="0.2">
      <c r="A21" s="10">
        <v>11</v>
      </c>
      <c r="B21" s="362">
        <f>'Disc Fact Premium'!B21</f>
        <v>0</v>
      </c>
      <c r="C21" s="15">
        <f t="shared" si="0"/>
        <v>0</v>
      </c>
    </row>
    <row r="22" spans="1:3" ht="15" customHeight="1" x14ac:dyDescent="0.2">
      <c r="A22" s="21">
        <v>12</v>
      </c>
      <c r="B22" s="362">
        <f>'Disc Fact Premium'!B22</f>
        <v>0</v>
      </c>
      <c r="C22" s="15">
        <f t="shared" si="0"/>
        <v>0</v>
      </c>
    </row>
    <row r="23" spans="1:3" ht="15" customHeight="1" x14ac:dyDescent="0.2">
      <c r="A23" s="10">
        <v>13</v>
      </c>
      <c r="B23" s="362">
        <f>'Disc Fact Premium'!B23</f>
        <v>0</v>
      </c>
      <c r="C23" s="15">
        <f t="shared" si="0"/>
        <v>0</v>
      </c>
    </row>
    <row r="24" spans="1:3" ht="15" customHeight="1" x14ac:dyDescent="0.2">
      <c r="A24" s="21">
        <v>14</v>
      </c>
      <c r="B24" s="362">
        <f>'Disc Fact Premium'!B24</f>
        <v>0</v>
      </c>
      <c r="C24" s="15">
        <f t="shared" si="0"/>
        <v>0</v>
      </c>
    </row>
    <row r="25" spans="1:3" ht="15" customHeight="1" x14ac:dyDescent="0.2">
      <c r="A25" s="10">
        <v>15</v>
      </c>
      <c r="B25" s="362">
        <f>'Disc Fact Premium'!B25</f>
        <v>0</v>
      </c>
      <c r="C25" s="15">
        <f t="shared" si="0"/>
        <v>0</v>
      </c>
    </row>
    <row r="26" spans="1:3" ht="15" customHeight="1" x14ac:dyDescent="0.2">
      <c r="A26" s="21">
        <v>16</v>
      </c>
      <c r="B26" s="14">
        <f>'Disc Fact Premium'!B26</f>
        <v>0</v>
      </c>
      <c r="C26" s="15">
        <f t="shared" si="0"/>
        <v>0</v>
      </c>
    </row>
    <row r="27" spans="1:3" ht="15" customHeight="1" x14ac:dyDescent="0.2">
      <c r="A27" s="10">
        <v>17</v>
      </c>
      <c r="B27" s="14">
        <f>'Disc Fact Premium'!B27</f>
        <v>0</v>
      </c>
      <c r="C27" s="15">
        <f t="shared" si="0"/>
        <v>0</v>
      </c>
    </row>
    <row r="28" spans="1:3" ht="15" customHeight="1" x14ac:dyDescent="0.2">
      <c r="A28" s="21">
        <v>18</v>
      </c>
      <c r="B28" s="14">
        <f>'Disc Fact Premium'!B28</f>
        <v>0</v>
      </c>
      <c r="C28" s="15">
        <f t="shared" si="0"/>
        <v>0</v>
      </c>
    </row>
    <row r="29" spans="1:3" ht="15" customHeight="1" x14ac:dyDescent="0.2">
      <c r="A29" s="10">
        <v>19</v>
      </c>
      <c r="B29" s="14">
        <f>'Disc Fact Premium'!B29</f>
        <v>0</v>
      </c>
      <c r="C29" s="15">
        <f t="shared" si="0"/>
        <v>0</v>
      </c>
    </row>
    <row r="30" spans="1:3" ht="15" customHeight="1" x14ac:dyDescent="0.2">
      <c r="A30" s="21">
        <v>20</v>
      </c>
      <c r="B30" s="14">
        <f>'Disc Fact Premium'!B30</f>
        <v>0</v>
      </c>
      <c r="C30" s="15">
        <f t="shared" si="0"/>
        <v>0</v>
      </c>
    </row>
    <row r="31" spans="1:3" ht="15" customHeight="1" x14ac:dyDescent="0.2">
      <c r="A31" s="10">
        <v>21</v>
      </c>
      <c r="B31" s="14">
        <f>'Disc Fact Premium'!B31</f>
        <v>0</v>
      </c>
      <c r="C31" s="15">
        <f t="shared" si="0"/>
        <v>0</v>
      </c>
    </row>
    <row r="32" spans="1:3" ht="15" customHeight="1" x14ac:dyDescent="0.2">
      <c r="A32" s="21">
        <v>22</v>
      </c>
      <c r="B32" s="14">
        <f>'Disc Fact Premium'!B32</f>
        <v>0</v>
      </c>
      <c r="C32" s="15">
        <f t="shared" si="0"/>
        <v>0</v>
      </c>
    </row>
    <row r="33" spans="1:3" ht="15" customHeight="1" x14ac:dyDescent="0.2">
      <c r="A33" s="10">
        <v>23</v>
      </c>
      <c r="B33" s="14">
        <f>'Disc Fact Premium'!B33</f>
        <v>0</v>
      </c>
      <c r="C33" s="15">
        <f t="shared" si="0"/>
        <v>0</v>
      </c>
    </row>
    <row r="34" spans="1:3" ht="15" customHeight="1" x14ac:dyDescent="0.2">
      <c r="A34" s="21">
        <v>24</v>
      </c>
      <c r="B34" s="14">
        <f>'Disc Fact Premium'!B34</f>
        <v>0</v>
      </c>
      <c r="C34" s="15">
        <f t="shared" si="0"/>
        <v>0</v>
      </c>
    </row>
    <row r="35" spans="1:3" ht="15" customHeight="1" x14ac:dyDescent="0.2">
      <c r="A35" s="10">
        <v>25</v>
      </c>
      <c r="B35" s="14">
        <f>'Disc Fact Premium'!B35</f>
        <v>0</v>
      </c>
      <c r="C35" s="15">
        <f t="shared" si="0"/>
        <v>0</v>
      </c>
    </row>
    <row r="36" spans="1:3" ht="15" customHeight="1" x14ac:dyDescent="0.2">
      <c r="A36" s="21">
        <v>26</v>
      </c>
      <c r="B36" s="14">
        <f>'Disc Fact Premium'!B36</f>
        <v>0</v>
      </c>
      <c r="C36" s="15">
        <f t="shared" si="0"/>
        <v>0</v>
      </c>
    </row>
    <row r="37" spans="1:3" ht="15" customHeight="1" x14ac:dyDescent="0.2">
      <c r="A37" s="10">
        <v>27</v>
      </c>
      <c r="B37" s="14">
        <f>'Disc Fact Premium'!B37</f>
        <v>0</v>
      </c>
      <c r="C37" s="15">
        <f t="shared" si="0"/>
        <v>0</v>
      </c>
    </row>
    <row r="38" spans="1:3" ht="15" customHeight="1" x14ac:dyDescent="0.2">
      <c r="A38" s="21">
        <v>28</v>
      </c>
      <c r="B38" s="14">
        <f>'Disc Fact Premium'!B38</f>
        <v>0</v>
      </c>
      <c r="C38" s="15">
        <f t="shared" si="0"/>
        <v>0</v>
      </c>
    </row>
    <row r="39" spans="1:3" ht="15" customHeight="1" x14ac:dyDescent="0.2">
      <c r="A39" s="10">
        <v>29</v>
      </c>
      <c r="B39" s="14">
        <f>'Disc Fact Premium'!B39</f>
        <v>0</v>
      </c>
      <c r="C39" s="15">
        <f t="shared" si="0"/>
        <v>0</v>
      </c>
    </row>
    <row r="40" spans="1:3" ht="15" customHeight="1" x14ac:dyDescent="0.2">
      <c r="A40" s="21">
        <v>30</v>
      </c>
      <c r="B40" s="14">
        <f>'Disc Fact Premium'!B40</f>
        <v>0</v>
      </c>
      <c r="C40" s="15">
        <f t="shared" si="0"/>
        <v>0</v>
      </c>
    </row>
    <row r="41" spans="1:3" ht="15" customHeight="1" x14ac:dyDescent="0.2">
      <c r="A41" s="10">
        <v>31</v>
      </c>
      <c r="B41" s="14">
        <f>'Disc Fact Premium'!B41</f>
        <v>0</v>
      </c>
      <c r="C41" s="15">
        <f t="shared" si="0"/>
        <v>0</v>
      </c>
    </row>
    <row r="42" spans="1:3" ht="15" customHeight="1" x14ac:dyDescent="0.2">
      <c r="A42" s="21">
        <v>32</v>
      </c>
      <c r="B42" s="14">
        <f>'Disc Fact Premium'!B42</f>
        <v>0</v>
      </c>
      <c r="C42" s="15">
        <f t="shared" si="0"/>
        <v>0</v>
      </c>
    </row>
    <row r="43" spans="1:3" ht="15" customHeight="1" x14ac:dyDescent="0.2">
      <c r="A43" s="10">
        <v>33</v>
      </c>
      <c r="B43" s="14">
        <f>'Disc Fact Premium'!B43</f>
        <v>0</v>
      </c>
      <c r="C43" s="15">
        <f t="shared" si="0"/>
        <v>0</v>
      </c>
    </row>
    <row r="44" spans="1:3" ht="15" customHeight="1" x14ac:dyDescent="0.2">
      <c r="A44" s="21">
        <v>34</v>
      </c>
      <c r="B44" s="14">
        <f>'Disc Fact Premium'!B44</f>
        <v>0</v>
      </c>
      <c r="C44" s="15">
        <f t="shared" si="0"/>
        <v>0</v>
      </c>
    </row>
    <row r="45" spans="1:3" ht="15" customHeight="1" x14ac:dyDescent="0.2">
      <c r="A45" s="10">
        <v>35</v>
      </c>
      <c r="B45" s="14">
        <f>'Disc Fact Premium'!B45</f>
        <v>0</v>
      </c>
      <c r="C45" s="15">
        <f t="shared" si="0"/>
        <v>0</v>
      </c>
    </row>
    <row r="46" spans="1:3" ht="15" customHeight="1" x14ac:dyDescent="0.2">
      <c r="A46" s="21">
        <v>36</v>
      </c>
      <c r="B46" s="14">
        <f>'Disc Fact Premium'!B46</f>
        <v>0</v>
      </c>
      <c r="C46" s="15">
        <f t="shared" si="0"/>
        <v>0</v>
      </c>
    </row>
    <row r="47" spans="1:3" ht="15" customHeight="1" x14ac:dyDescent="0.2">
      <c r="A47" s="10">
        <v>37</v>
      </c>
      <c r="B47" s="14">
        <f>'Disc Fact Premium'!B47</f>
        <v>0</v>
      </c>
      <c r="C47" s="15">
        <f t="shared" si="0"/>
        <v>0</v>
      </c>
    </row>
    <row r="48" spans="1:3" ht="15" customHeight="1" x14ac:dyDescent="0.2">
      <c r="A48" s="21">
        <v>38</v>
      </c>
      <c r="B48" s="14">
        <f>'Disc Fact Premium'!B48</f>
        <v>0</v>
      </c>
      <c r="C48" s="15">
        <f t="shared" si="0"/>
        <v>0</v>
      </c>
    </row>
    <row r="49" spans="1:3" ht="15" customHeight="1" x14ac:dyDescent="0.2">
      <c r="A49" s="10">
        <v>39</v>
      </c>
      <c r="B49" s="14">
        <f>'Disc Fact Premium'!B49</f>
        <v>0</v>
      </c>
      <c r="C49" s="15">
        <f t="shared" si="0"/>
        <v>0</v>
      </c>
    </row>
    <row r="50" spans="1:3" ht="15" customHeight="1" x14ac:dyDescent="0.2">
      <c r="A50" s="21">
        <v>40</v>
      </c>
      <c r="B50" s="14">
        <f>'Disc Fact Premium'!B50</f>
        <v>0</v>
      </c>
      <c r="C50" s="15">
        <f t="shared" si="0"/>
        <v>0</v>
      </c>
    </row>
    <row r="51" spans="1:3" ht="15" customHeight="1" x14ac:dyDescent="0.2">
      <c r="A51" s="27" t="s">
        <v>47</v>
      </c>
      <c r="B51" s="28">
        <f>SUM(B10:B50)</f>
        <v>1</v>
      </c>
      <c r="C51" s="376">
        <f>SUM(C10:C50)</f>
        <v>1</v>
      </c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4"/>
  </sheetPr>
  <dimension ref="A1:AP443"/>
  <sheetViews>
    <sheetView topLeftCell="AC1" zoomScale="80" zoomScaleNormal="80" workbookViewId="0">
      <selection activeCell="N45" sqref="N45"/>
    </sheetView>
  </sheetViews>
  <sheetFormatPr defaultColWidth="9.140625" defaultRowHeight="12.75" x14ac:dyDescent="0.2"/>
  <cols>
    <col min="1" max="1" width="8.140625" style="2" customWidth="1"/>
    <col min="2" max="2" width="9.42578125" style="31" customWidth="1"/>
    <col min="3" max="3" width="11.140625" style="31" customWidth="1"/>
    <col min="4" max="4" width="4.5703125" style="1" customWidth="1"/>
    <col min="5" max="5" width="8.140625" style="2" customWidth="1"/>
    <col min="6" max="6" width="9.42578125" style="31" customWidth="1"/>
    <col min="7" max="7" width="11.140625" style="31" customWidth="1"/>
    <col min="8" max="8" width="4.5703125" style="1" customWidth="1"/>
    <col min="9" max="9" width="8.140625" style="2" customWidth="1"/>
    <col min="10" max="10" width="9.42578125" style="31" customWidth="1"/>
    <col min="11" max="11" width="11.140625" style="31" customWidth="1"/>
    <col min="12" max="12" width="4.5703125" style="1" customWidth="1"/>
    <col min="13" max="13" width="8.140625" style="2" customWidth="1"/>
    <col min="14" max="14" width="9.42578125" style="31" customWidth="1"/>
    <col min="15" max="15" width="11.140625" style="31" customWidth="1"/>
    <col min="16" max="16" width="4.5703125" style="1" customWidth="1"/>
    <col min="17" max="17" width="8.140625" style="2" customWidth="1"/>
    <col min="18" max="18" width="9.42578125" style="31" customWidth="1"/>
    <col min="19" max="19" width="11.140625" style="31" customWidth="1"/>
    <col min="20" max="20" width="4.5703125" style="1" customWidth="1"/>
    <col min="21" max="21" width="8.140625" style="2" customWidth="1"/>
    <col min="22" max="22" width="9.42578125" style="31" customWidth="1"/>
    <col min="23" max="23" width="11.140625" style="31" customWidth="1"/>
    <col min="24" max="24" width="4.5703125" style="1" customWidth="1"/>
    <col min="25" max="25" width="8.140625" style="2" customWidth="1"/>
    <col min="26" max="26" width="9.42578125" style="31" customWidth="1"/>
    <col min="27" max="27" width="11.140625" style="31" customWidth="1"/>
    <col min="28" max="28" width="4.5703125" style="1" customWidth="1"/>
    <col min="29" max="29" width="8.140625" style="2" customWidth="1"/>
    <col min="30" max="30" width="9.42578125" style="31" customWidth="1"/>
    <col min="31" max="31" width="11.140625" style="31" customWidth="1"/>
    <col min="32" max="32" width="6" style="1" customWidth="1"/>
    <col min="33" max="33" width="14.85546875" style="1" bestFit="1" customWidth="1"/>
    <col min="34" max="34" width="17.140625" style="1" bestFit="1" customWidth="1"/>
    <col min="35" max="35" width="4.85546875" style="1" customWidth="1"/>
    <col min="36" max="36" width="12.140625" style="7" customWidth="1"/>
    <col min="37" max="37" width="13" style="1" customWidth="1"/>
    <col min="38" max="39" width="10" style="1" customWidth="1"/>
    <col min="40" max="40" width="11.85546875" style="1" customWidth="1"/>
    <col min="41" max="41" width="14.140625" style="1" customWidth="1"/>
    <col min="42" max="42" width="11.85546875" style="1" customWidth="1"/>
    <col min="43" max="44" width="12" style="1" customWidth="1"/>
    <col min="45" max="45" width="13.7109375" style="1" customWidth="1"/>
    <col min="46" max="47" width="11.85546875" style="1" customWidth="1"/>
    <col min="48" max="48" width="12.140625" style="1" customWidth="1"/>
    <col min="49" max="16384" width="9.140625" style="1"/>
  </cols>
  <sheetData>
    <row r="1" spans="1:42" ht="15" x14ac:dyDescent="0.2">
      <c r="A1" s="30" t="s">
        <v>49</v>
      </c>
      <c r="E1" s="8"/>
      <c r="I1" s="8"/>
      <c r="M1" s="8"/>
      <c r="Q1" s="30" t="s">
        <v>49</v>
      </c>
      <c r="U1" s="8"/>
      <c r="Y1" s="8"/>
      <c r="AC1" s="8"/>
      <c r="AJ1" s="363" t="str">
        <f>'Disc Fact Paid Loss'!AN1</f>
        <v>Nominal Pattern is Combined Loss Flow Estimated from Financial Aggregate Data from Section VII-C Exhibit 5, Page 1, Col. (4) of 7/1/2025 filing.</v>
      </c>
      <c r="AK1" s="364"/>
      <c r="AL1" s="364"/>
      <c r="AM1" s="364"/>
      <c r="AN1" s="364"/>
      <c r="AO1" s="364"/>
      <c r="AP1" s="364"/>
    </row>
    <row r="2" spans="1:42" x14ac:dyDescent="0.2">
      <c r="A2" s="8" t="s">
        <v>39</v>
      </c>
      <c r="E2" s="8"/>
      <c r="I2" s="8"/>
      <c r="M2" s="8"/>
      <c r="Q2" s="8" t="s">
        <v>39</v>
      </c>
      <c r="U2" s="8"/>
      <c r="Y2" s="8"/>
      <c r="AC2" s="8"/>
      <c r="AJ2" s="1" t="s">
        <v>38</v>
      </c>
      <c r="AN2" s="35" t="s">
        <v>187</v>
      </c>
    </row>
    <row r="3" spans="1:42" x14ac:dyDescent="0.2">
      <c r="E3" s="32"/>
      <c r="I3" s="32"/>
      <c r="M3" s="32"/>
      <c r="Q3" s="32"/>
      <c r="U3" s="32"/>
      <c r="Y3" s="32"/>
      <c r="AC3" s="32"/>
      <c r="AN3" s="36" t="s">
        <v>188</v>
      </c>
      <c r="AO3" s="10" t="s">
        <v>189</v>
      </c>
    </row>
    <row r="4" spans="1:42" x14ac:dyDescent="0.2">
      <c r="C4" s="33"/>
      <c r="D4" s="34" t="s">
        <v>50</v>
      </c>
      <c r="G4" s="33"/>
      <c r="H4" s="9"/>
      <c r="K4" s="33"/>
      <c r="L4" s="9"/>
      <c r="O4" s="33"/>
      <c r="P4" s="9"/>
      <c r="S4" s="33"/>
      <c r="T4" s="9"/>
      <c r="W4" s="33"/>
      <c r="X4" s="9"/>
      <c r="AA4" s="33"/>
      <c r="AB4" s="9"/>
      <c r="AE4" s="33"/>
      <c r="AN4" s="10" t="s">
        <v>11</v>
      </c>
      <c r="AO4" s="10" t="s">
        <v>12</v>
      </c>
    </row>
    <row r="5" spans="1:42" x14ac:dyDescent="0.2">
      <c r="B5" s="15"/>
      <c r="C5" s="15" t="s">
        <v>40</v>
      </c>
      <c r="D5" s="10"/>
      <c r="F5" s="15"/>
      <c r="G5" s="15" t="s">
        <v>40</v>
      </c>
      <c r="H5" s="10"/>
      <c r="J5" s="15"/>
      <c r="K5" s="15" t="s">
        <v>40</v>
      </c>
      <c r="L5" s="10"/>
      <c r="N5" s="15"/>
      <c r="O5" s="15" t="s">
        <v>40</v>
      </c>
      <c r="P5" s="10"/>
      <c r="R5" s="15"/>
      <c r="S5" s="15" t="s">
        <v>40</v>
      </c>
      <c r="T5" s="10"/>
      <c r="V5" s="15"/>
      <c r="W5" s="15" t="s">
        <v>40</v>
      </c>
      <c r="X5" s="10"/>
      <c r="Z5" s="15"/>
      <c r="AA5" s="15" t="s">
        <v>40</v>
      </c>
      <c r="AB5" s="10"/>
      <c r="AD5" s="15"/>
      <c r="AE5" s="15" t="s">
        <v>40</v>
      </c>
      <c r="AN5" s="367">
        <f>'Disc Fact Paid Loss'!AN5</f>
        <v>45474</v>
      </c>
      <c r="AO5" s="368">
        <f>'Disc Fact Paid Loss'!AO5</f>
        <v>45565</v>
      </c>
      <c r="AP5" s="371">
        <f>'Disc Fact Paid Loss'!AP5</f>
        <v>0</v>
      </c>
    </row>
    <row r="6" spans="1:42" x14ac:dyDescent="0.2">
      <c r="B6" s="35" t="s">
        <v>41</v>
      </c>
      <c r="C6" s="35" t="s">
        <v>42</v>
      </c>
      <c r="D6" s="4" t="s">
        <v>50</v>
      </c>
      <c r="F6" s="35" t="s">
        <v>41</v>
      </c>
      <c r="G6" s="35" t="s">
        <v>42</v>
      </c>
      <c r="H6" s="2"/>
      <c r="J6" s="35" t="s">
        <v>41</v>
      </c>
      <c r="K6" s="35" t="s">
        <v>42</v>
      </c>
      <c r="L6" s="2"/>
      <c r="N6" s="35" t="s">
        <v>41</v>
      </c>
      <c r="O6" s="35" t="s">
        <v>42</v>
      </c>
      <c r="P6" s="2"/>
      <c r="R6" s="35" t="s">
        <v>41</v>
      </c>
      <c r="S6" s="35" t="s">
        <v>42</v>
      </c>
      <c r="T6" s="2"/>
      <c r="V6" s="35" t="s">
        <v>41</v>
      </c>
      <c r="W6" s="35" t="s">
        <v>42</v>
      </c>
      <c r="X6" s="2"/>
      <c r="Z6" s="35" t="s">
        <v>41</v>
      </c>
      <c r="AA6" s="35" t="s">
        <v>42</v>
      </c>
      <c r="AB6" s="2"/>
      <c r="AD6" s="35" t="s">
        <v>41</v>
      </c>
      <c r="AE6" s="35" t="s">
        <v>42</v>
      </c>
      <c r="AK6" s="35" t="s">
        <v>41</v>
      </c>
      <c r="AN6" s="369">
        <f>'Disc Fact Paid Loss'!AN6</f>
        <v>45566</v>
      </c>
      <c r="AO6" s="370">
        <f>'Disc Fact Paid Loss'!AO6</f>
        <v>45657</v>
      </c>
      <c r="AP6" s="372">
        <f>'Disc Fact Paid Loss'!AP6</f>
        <v>0</v>
      </c>
    </row>
    <row r="7" spans="1:42" ht="15" customHeight="1" x14ac:dyDescent="0.2">
      <c r="A7" s="11" t="s">
        <v>43</v>
      </c>
      <c r="B7" s="36" t="s">
        <v>44</v>
      </c>
      <c r="C7" s="12">
        <f>'Web - Summary'!D12</f>
        <v>0</v>
      </c>
      <c r="D7" s="37"/>
      <c r="E7" s="11" t="s">
        <v>43</v>
      </c>
      <c r="F7" s="36" t="s">
        <v>44</v>
      </c>
      <c r="G7" s="38">
        <f>$C$7</f>
        <v>0</v>
      </c>
      <c r="H7" s="37"/>
      <c r="I7" s="11" t="s">
        <v>43</v>
      </c>
      <c r="J7" s="36" t="s">
        <v>44</v>
      </c>
      <c r="K7" s="38">
        <f>$C$7</f>
        <v>0</v>
      </c>
      <c r="L7" s="37"/>
      <c r="M7" s="11" t="s">
        <v>43</v>
      </c>
      <c r="N7" s="36" t="s">
        <v>44</v>
      </c>
      <c r="O7" s="38">
        <f>$C$7</f>
        <v>0</v>
      </c>
      <c r="P7" s="37"/>
      <c r="Q7" s="11" t="s">
        <v>43</v>
      </c>
      <c r="R7" s="36" t="s">
        <v>44</v>
      </c>
      <c r="S7" s="38">
        <f>$C$7</f>
        <v>0</v>
      </c>
      <c r="T7" s="37"/>
      <c r="U7" s="11" t="s">
        <v>43</v>
      </c>
      <c r="V7" s="36" t="s">
        <v>44</v>
      </c>
      <c r="W7" s="38">
        <f>$C$7</f>
        <v>0</v>
      </c>
      <c r="X7" s="37"/>
      <c r="Y7" s="11" t="s">
        <v>43</v>
      </c>
      <c r="Z7" s="36" t="s">
        <v>44</v>
      </c>
      <c r="AA7" s="38">
        <f>$C$7</f>
        <v>0</v>
      </c>
      <c r="AB7" s="37"/>
      <c r="AC7" s="11" t="s">
        <v>43</v>
      </c>
      <c r="AD7" s="36" t="s">
        <v>44</v>
      </c>
      <c r="AE7" s="38">
        <f>$C$7</f>
        <v>0</v>
      </c>
      <c r="AF7" s="10"/>
      <c r="AG7" s="10"/>
      <c r="AH7" s="10"/>
      <c r="AI7" s="10"/>
      <c r="AJ7" s="11" t="s">
        <v>43</v>
      </c>
      <c r="AK7" s="36" t="s">
        <v>44</v>
      </c>
      <c r="AL7" s="10"/>
      <c r="AN7" s="369">
        <f>'Disc Fact Paid Loss'!AN7</f>
        <v>45658</v>
      </c>
      <c r="AO7" s="370">
        <f>'Disc Fact Paid Loss'!AO7</f>
        <v>45747</v>
      </c>
      <c r="AP7" s="372">
        <f>'Disc Fact Paid Loss'!AP7</f>
        <v>0</v>
      </c>
    </row>
    <row r="8" spans="1:42" x14ac:dyDescent="0.2">
      <c r="A8" s="11"/>
      <c r="B8" s="36"/>
      <c r="C8" s="38"/>
      <c r="D8" s="37"/>
      <c r="E8" s="11"/>
      <c r="F8" s="36"/>
      <c r="G8" s="38"/>
      <c r="H8" s="37"/>
      <c r="I8" s="11"/>
      <c r="J8" s="36"/>
      <c r="K8" s="38"/>
      <c r="L8" s="37"/>
      <c r="M8" s="11"/>
      <c r="N8" s="36"/>
      <c r="O8" s="38"/>
      <c r="P8" s="37"/>
      <c r="Q8" s="11"/>
      <c r="R8" s="36"/>
      <c r="S8" s="38"/>
      <c r="T8" s="37"/>
      <c r="U8" s="11"/>
      <c r="V8" s="36"/>
      <c r="W8" s="38"/>
      <c r="X8" s="37"/>
      <c r="Y8" s="11"/>
      <c r="Z8" s="36"/>
      <c r="AA8" s="38"/>
      <c r="AB8" s="37"/>
      <c r="AC8" s="11"/>
      <c r="AD8" s="36"/>
      <c r="AE8" s="38"/>
      <c r="AF8" s="10"/>
      <c r="AG8" s="10"/>
      <c r="AH8" s="10"/>
      <c r="AI8" s="10"/>
      <c r="AJ8" s="39"/>
      <c r="AK8" s="10"/>
      <c r="AL8" s="10"/>
      <c r="AM8" s="35"/>
      <c r="AN8" s="369">
        <f>'Disc Fact Paid Loss'!AN8</f>
        <v>45748</v>
      </c>
      <c r="AO8" s="370">
        <f>'Disc Fact Paid Loss'!AO8</f>
        <v>45838</v>
      </c>
      <c r="AP8" s="372">
        <f>'Disc Fact Paid Loss'!AP8</f>
        <v>0</v>
      </c>
    </row>
    <row r="9" spans="1:42" ht="15" customHeight="1" x14ac:dyDescent="0.2">
      <c r="A9" s="10">
        <v>1</v>
      </c>
      <c r="B9" s="15">
        <f>AK9</f>
        <v>6.9562715261826218E-3</v>
      </c>
      <c r="C9" s="15">
        <f t="shared" ref="C9:C58" si="0">B9/(1+$C$7)^(A9*0.25)</f>
        <v>6.9562715261826218E-3</v>
      </c>
      <c r="D9" s="40"/>
      <c r="E9" s="10">
        <v>51</v>
      </c>
      <c r="F9" s="15">
        <f t="shared" ref="F9:F58" si="1">AK59</f>
        <v>8.2009484074362766E-4</v>
      </c>
      <c r="G9" s="15">
        <f t="shared" ref="G9:G58" si="2">F9/(1+$C$7)^(E9*0.25)</f>
        <v>8.2009484074362766E-4</v>
      </c>
      <c r="H9" s="40"/>
      <c r="I9" s="10">
        <v>101</v>
      </c>
      <c r="J9" s="15">
        <f t="shared" ref="J9:J58" si="3">AK109</f>
        <v>1.2215213557139099E-3</v>
      </c>
      <c r="K9" s="15">
        <f t="shared" ref="K9:K58" si="4">J9/(1+$C$7)^(I9*0.25)</f>
        <v>1.2215213557139099E-3</v>
      </c>
      <c r="L9" s="40"/>
      <c r="M9" s="10">
        <v>151</v>
      </c>
      <c r="N9" s="15">
        <f t="shared" ref="N9:N58" si="5">AK159</f>
        <v>0</v>
      </c>
      <c r="O9" s="15">
        <f t="shared" ref="O9:O58" si="6">N9/(1+$C$7)^(M9*0.25)</f>
        <v>0</v>
      </c>
      <c r="P9" s="40"/>
      <c r="Q9" s="10">
        <v>201</v>
      </c>
      <c r="R9" s="15">
        <f t="shared" ref="R9:R58" si="7">AK209</f>
        <v>0</v>
      </c>
      <c r="S9" s="15">
        <f t="shared" ref="S9:S58" si="8">R9/(1+$C$7)^(Q9*0.25)</f>
        <v>0</v>
      </c>
      <c r="T9" s="40"/>
      <c r="U9" s="10">
        <v>251</v>
      </c>
      <c r="V9" s="15">
        <f t="shared" ref="V9:V58" si="9">AK259</f>
        <v>0</v>
      </c>
      <c r="W9" s="15">
        <f t="shared" ref="W9:W58" si="10">V9/(1+$C$7)^(U9*0.25)</f>
        <v>0</v>
      </c>
      <c r="X9" s="40"/>
      <c r="Y9" s="10">
        <v>301</v>
      </c>
      <c r="Z9" s="15">
        <f t="shared" ref="Z9:Z58" si="11">AK309</f>
        <v>0</v>
      </c>
      <c r="AA9" s="15">
        <f t="shared" ref="AA9:AA58" si="12">Z9/(1+$C$7)^(Y9*0.25)</f>
        <v>0</v>
      </c>
      <c r="AB9" s="40"/>
      <c r="AC9" s="10">
        <v>351</v>
      </c>
      <c r="AD9" s="15">
        <f t="shared" ref="AD9:AD58" si="13">AK359</f>
        <v>0</v>
      </c>
      <c r="AE9" s="15">
        <f t="shared" ref="AE9:AE58" si="14">AD9/(1+$C$7)^(AC9*0.25)</f>
        <v>0</v>
      </c>
      <c r="AF9" s="20"/>
      <c r="AG9" s="450" t="s">
        <v>51</v>
      </c>
      <c r="AH9" s="451"/>
      <c r="AI9" s="9"/>
      <c r="AJ9" s="21">
        <v>1</v>
      </c>
      <c r="AK9" s="64">
        <f>'Disc Fact Paid Loss'!AK9</f>
        <v>6.9562715261826218E-3</v>
      </c>
      <c r="AL9" s="19"/>
      <c r="AM9" s="80">
        <f t="shared" ref="AM9:AM32" si="15">AJ9</f>
        <v>1</v>
      </c>
      <c r="AN9" s="369">
        <f>'Disc Fact Paid Loss'!AN9</f>
        <v>45839</v>
      </c>
      <c r="AO9" s="370">
        <f>'Disc Fact Paid Loss'!AO9</f>
        <v>45930</v>
      </c>
      <c r="AP9" s="372">
        <f>'Disc Fact Paid Loss'!AP9</f>
        <v>6.9562715261826218E-3</v>
      </c>
    </row>
    <row r="10" spans="1:42" ht="15" customHeight="1" x14ac:dyDescent="0.2">
      <c r="A10" s="21">
        <v>2</v>
      </c>
      <c r="B10" s="15">
        <f t="shared" ref="B10:B58" si="16">AK10</f>
        <v>1.8840281845920702E-2</v>
      </c>
      <c r="C10" s="15">
        <f t="shared" si="0"/>
        <v>1.8840281845920702E-2</v>
      </c>
      <c r="D10" s="40"/>
      <c r="E10" s="21">
        <v>52</v>
      </c>
      <c r="F10" s="15">
        <f t="shared" si="1"/>
        <v>7.7188334123106609E-4</v>
      </c>
      <c r="G10" s="15">
        <f t="shared" si="2"/>
        <v>7.7188334123106609E-4</v>
      </c>
      <c r="H10" s="40"/>
      <c r="I10" s="21">
        <v>102</v>
      </c>
      <c r="J10" s="15">
        <f t="shared" si="3"/>
        <v>1.2280886748306512E-3</v>
      </c>
      <c r="K10" s="15">
        <f t="shared" si="4"/>
        <v>1.2280886748306512E-3</v>
      </c>
      <c r="L10" s="40"/>
      <c r="M10" s="21">
        <v>152</v>
      </c>
      <c r="N10" s="15">
        <f t="shared" si="5"/>
        <v>0</v>
      </c>
      <c r="O10" s="15">
        <f t="shared" si="6"/>
        <v>0</v>
      </c>
      <c r="P10" s="40"/>
      <c r="Q10" s="21">
        <v>202</v>
      </c>
      <c r="R10" s="15">
        <f t="shared" si="7"/>
        <v>0</v>
      </c>
      <c r="S10" s="15">
        <f t="shared" si="8"/>
        <v>0</v>
      </c>
      <c r="T10" s="40"/>
      <c r="U10" s="21">
        <v>252</v>
      </c>
      <c r="V10" s="15">
        <f t="shared" si="9"/>
        <v>0</v>
      </c>
      <c r="W10" s="15">
        <f t="shared" si="10"/>
        <v>0</v>
      </c>
      <c r="X10" s="40"/>
      <c r="Y10" s="21">
        <v>302</v>
      </c>
      <c r="Z10" s="15">
        <f t="shared" si="11"/>
        <v>0</v>
      </c>
      <c r="AA10" s="15">
        <f t="shared" si="12"/>
        <v>0</v>
      </c>
      <c r="AB10" s="40"/>
      <c r="AC10" s="21">
        <v>352</v>
      </c>
      <c r="AD10" s="15">
        <f t="shared" si="13"/>
        <v>0</v>
      </c>
      <c r="AE10" s="15">
        <f t="shared" si="14"/>
        <v>0</v>
      </c>
      <c r="AF10" s="20"/>
      <c r="AG10" s="22"/>
      <c r="AH10" s="23"/>
      <c r="AI10" s="2"/>
      <c r="AJ10" s="42">
        <f t="shared" ref="AJ10:AJ73" si="17">AJ9+1</f>
        <v>2</v>
      </c>
      <c r="AK10" s="64">
        <f>'Disc Fact Paid Loss'!AK10</f>
        <v>1.8840281845920702E-2</v>
      </c>
      <c r="AL10" s="19"/>
      <c r="AM10" s="80">
        <f t="shared" si="15"/>
        <v>2</v>
      </c>
      <c r="AN10" s="369">
        <f>'Disc Fact Paid Loss'!AN10</f>
        <v>45931</v>
      </c>
      <c r="AO10" s="370">
        <f>'Disc Fact Paid Loss'!AO10</f>
        <v>46022</v>
      </c>
      <c r="AP10" s="372">
        <f>'Disc Fact Paid Loss'!AP10</f>
        <v>1.8840281845920702E-2</v>
      </c>
    </row>
    <row r="11" spans="1:42" ht="15" customHeight="1" x14ac:dyDescent="0.2">
      <c r="A11" s="10">
        <v>3</v>
      </c>
      <c r="B11" s="15">
        <f t="shared" si="16"/>
        <v>3.3801833908357122E-2</v>
      </c>
      <c r="C11" s="15">
        <f t="shared" si="0"/>
        <v>3.3801833908357122E-2</v>
      </c>
      <c r="D11" s="40"/>
      <c r="E11" s="10">
        <v>53</v>
      </c>
      <c r="F11" s="15">
        <f t="shared" si="1"/>
        <v>7.4789827997985439E-4</v>
      </c>
      <c r="G11" s="15">
        <f t="shared" si="2"/>
        <v>7.4789827997985439E-4</v>
      </c>
      <c r="H11" s="40"/>
      <c r="I11" s="10">
        <v>103</v>
      </c>
      <c r="J11" s="15">
        <f t="shared" si="3"/>
        <v>1.2215213557139097E-3</v>
      </c>
      <c r="K11" s="15">
        <f t="shared" si="4"/>
        <v>1.2215213557139097E-3</v>
      </c>
      <c r="L11" s="40"/>
      <c r="M11" s="10">
        <v>153</v>
      </c>
      <c r="N11" s="15">
        <f t="shared" si="5"/>
        <v>0</v>
      </c>
      <c r="O11" s="15">
        <f t="shared" si="6"/>
        <v>0</v>
      </c>
      <c r="P11" s="40"/>
      <c r="Q11" s="10">
        <v>203</v>
      </c>
      <c r="R11" s="15">
        <f t="shared" si="7"/>
        <v>0</v>
      </c>
      <c r="S11" s="15">
        <f t="shared" si="8"/>
        <v>0</v>
      </c>
      <c r="T11" s="40"/>
      <c r="U11" s="10">
        <v>253</v>
      </c>
      <c r="V11" s="15">
        <f t="shared" si="9"/>
        <v>0</v>
      </c>
      <c r="W11" s="15">
        <f t="shared" si="10"/>
        <v>0</v>
      </c>
      <c r="X11" s="40"/>
      <c r="Y11" s="10">
        <v>303</v>
      </c>
      <c r="Z11" s="15">
        <f t="shared" si="11"/>
        <v>0</v>
      </c>
      <c r="AA11" s="15">
        <f t="shared" si="12"/>
        <v>0</v>
      </c>
      <c r="AB11" s="40"/>
      <c r="AC11" s="10">
        <v>353</v>
      </c>
      <c r="AD11" s="15">
        <f t="shared" si="13"/>
        <v>0</v>
      </c>
      <c r="AE11" s="15">
        <f t="shared" si="14"/>
        <v>0</v>
      </c>
      <c r="AF11" s="20"/>
      <c r="AG11" s="24" t="s">
        <v>46</v>
      </c>
      <c r="AH11" s="43">
        <f>AE59</f>
        <v>1.0000000000000002</v>
      </c>
      <c r="AI11" s="252"/>
      <c r="AJ11" s="42">
        <f t="shared" si="17"/>
        <v>3</v>
      </c>
      <c r="AK11" s="64">
        <f>'Disc Fact Paid Loss'!AK11</f>
        <v>3.3801833908357122E-2</v>
      </c>
      <c r="AL11" s="19"/>
      <c r="AM11" s="80">
        <f t="shared" si="15"/>
        <v>3</v>
      </c>
      <c r="AN11" s="369">
        <f>'Disc Fact Paid Loss'!AN11</f>
        <v>46023</v>
      </c>
      <c r="AO11" s="370">
        <f>'Disc Fact Paid Loss'!AO11</f>
        <v>46112</v>
      </c>
      <c r="AP11" s="372">
        <f>'Disc Fact Paid Loss'!AP11</f>
        <v>3.3801833908357122E-2</v>
      </c>
    </row>
    <row r="12" spans="1:42" ht="15" customHeight="1" x14ac:dyDescent="0.2">
      <c r="A12" s="21">
        <v>4</v>
      </c>
      <c r="B12" s="15">
        <f t="shared" si="16"/>
        <v>4.711647684600475E-2</v>
      </c>
      <c r="C12" s="15">
        <f t="shared" si="0"/>
        <v>4.711647684600475E-2</v>
      </c>
      <c r="D12" s="40"/>
      <c r="E12" s="21">
        <v>54</v>
      </c>
      <c r="F12" s="15">
        <f t="shared" si="1"/>
        <v>7.4088560598694502E-4</v>
      </c>
      <c r="G12" s="15">
        <f t="shared" si="2"/>
        <v>7.4088560598694502E-4</v>
      </c>
      <c r="H12" s="40"/>
      <c r="I12" s="21">
        <v>104</v>
      </c>
      <c r="J12" s="15">
        <f t="shared" si="3"/>
        <v>1.2149540365971685E-3</v>
      </c>
      <c r="K12" s="15">
        <f t="shared" si="4"/>
        <v>1.2149540365971685E-3</v>
      </c>
      <c r="L12" s="40"/>
      <c r="M12" s="21">
        <v>154</v>
      </c>
      <c r="N12" s="15">
        <f t="shared" si="5"/>
        <v>0</v>
      </c>
      <c r="O12" s="15">
        <f t="shared" si="6"/>
        <v>0</v>
      </c>
      <c r="P12" s="40"/>
      <c r="Q12" s="21">
        <v>204</v>
      </c>
      <c r="R12" s="15">
        <f t="shared" si="7"/>
        <v>0</v>
      </c>
      <c r="S12" s="15">
        <f t="shared" si="8"/>
        <v>0</v>
      </c>
      <c r="T12" s="40"/>
      <c r="U12" s="21">
        <v>254</v>
      </c>
      <c r="V12" s="15">
        <f t="shared" si="9"/>
        <v>0</v>
      </c>
      <c r="W12" s="15">
        <f t="shared" si="10"/>
        <v>0</v>
      </c>
      <c r="X12" s="40"/>
      <c r="Y12" s="21">
        <v>304</v>
      </c>
      <c r="Z12" s="15">
        <f t="shared" si="11"/>
        <v>0</v>
      </c>
      <c r="AA12" s="15">
        <f t="shared" si="12"/>
        <v>0</v>
      </c>
      <c r="AB12" s="40"/>
      <c r="AC12" s="21">
        <v>354</v>
      </c>
      <c r="AD12" s="15">
        <f t="shared" si="13"/>
        <v>0</v>
      </c>
      <c r="AE12" s="15">
        <f t="shared" si="14"/>
        <v>0</v>
      </c>
      <c r="AF12" s="20"/>
      <c r="AG12" s="25">
        <v>0</v>
      </c>
      <c r="AH12" s="26" t="s">
        <v>222</v>
      </c>
      <c r="AI12" s="63"/>
      <c r="AJ12" s="42">
        <f t="shared" si="17"/>
        <v>4</v>
      </c>
      <c r="AK12" s="64">
        <f>'Disc Fact Paid Loss'!AK12</f>
        <v>4.711647684600475E-2</v>
      </c>
      <c r="AL12" s="19"/>
      <c r="AM12" s="80">
        <f t="shared" si="15"/>
        <v>4</v>
      </c>
      <c r="AN12" s="369">
        <f>'Disc Fact Paid Loss'!AN12</f>
        <v>46113</v>
      </c>
      <c r="AO12" s="370">
        <f>'Disc Fact Paid Loss'!AO12</f>
        <v>46203</v>
      </c>
      <c r="AP12" s="372">
        <f>'Disc Fact Paid Loss'!AP12</f>
        <v>4.711647684600475E-2</v>
      </c>
    </row>
    <row r="13" spans="1:42" ht="15" customHeight="1" x14ac:dyDescent="0.2">
      <c r="A13" s="10">
        <v>5</v>
      </c>
      <c r="B13" s="15">
        <f t="shared" si="16"/>
        <v>5.4830074799384787E-2</v>
      </c>
      <c r="C13" s="15">
        <f t="shared" si="0"/>
        <v>5.4830074799384787E-2</v>
      </c>
      <c r="D13" s="40"/>
      <c r="E13" s="10">
        <v>55</v>
      </c>
      <c r="F13" s="15">
        <f t="shared" si="1"/>
        <v>7.2289500528959286E-4</v>
      </c>
      <c r="G13" s="15">
        <f t="shared" si="2"/>
        <v>7.2289500528959286E-4</v>
      </c>
      <c r="H13" s="40"/>
      <c r="I13" s="10">
        <v>105</v>
      </c>
      <c r="J13" s="15">
        <f t="shared" si="3"/>
        <v>1.2215213557139099E-3</v>
      </c>
      <c r="K13" s="15">
        <f t="shared" si="4"/>
        <v>1.2215213557139099E-3</v>
      </c>
      <c r="L13" s="40"/>
      <c r="M13" s="10">
        <v>155</v>
      </c>
      <c r="N13" s="15">
        <f t="shared" si="5"/>
        <v>0</v>
      </c>
      <c r="O13" s="15">
        <f t="shared" si="6"/>
        <v>0</v>
      </c>
      <c r="P13" s="40"/>
      <c r="Q13" s="10">
        <v>205</v>
      </c>
      <c r="R13" s="15">
        <f t="shared" si="7"/>
        <v>0</v>
      </c>
      <c r="S13" s="15">
        <f t="shared" si="8"/>
        <v>0</v>
      </c>
      <c r="T13" s="40"/>
      <c r="U13" s="10">
        <v>255</v>
      </c>
      <c r="V13" s="15">
        <f t="shared" si="9"/>
        <v>0</v>
      </c>
      <c r="W13" s="15">
        <f t="shared" si="10"/>
        <v>0</v>
      </c>
      <c r="X13" s="40"/>
      <c r="Y13" s="10">
        <v>305</v>
      </c>
      <c r="Z13" s="15">
        <f t="shared" si="11"/>
        <v>0</v>
      </c>
      <c r="AA13" s="15">
        <f t="shared" si="12"/>
        <v>0</v>
      </c>
      <c r="AB13" s="40"/>
      <c r="AC13" s="10">
        <v>355</v>
      </c>
      <c r="AD13" s="15">
        <f t="shared" si="13"/>
        <v>0</v>
      </c>
      <c r="AE13" s="15">
        <f t="shared" si="14"/>
        <v>0</v>
      </c>
      <c r="AF13" s="20"/>
      <c r="AG13" s="25">
        <f>ROUND(AG12+0.01,2)</f>
        <v>0.01</v>
      </c>
      <c r="AH13" s="26" t="s">
        <v>222</v>
      </c>
      <c r="AI13" s="63"/>
      <c r="AJ13" s="42">
        <f t="shared" si="17"/>
        <v>5</v>
      </c>
      <c r="AK13" s="64">
        <f>'Disc Fact Paid Loss'!AK13</f>
        <v>5.4830074799384787E-2</v>
      </c>
      <c r="AL13" s="19"/>
      <c r="AM13" s="80">
        <f t="shared" si="15"/>
        <v>5</v>
      </c>
      <c r="AN13" s="369">
        <f>'Disc Fact Paid Loss'!AN13</f>
        <v>46204</v>
      </c>
      <c r="AO13" s="370">
        <f>'Disc Fact Paid Loss'!AO13</f>
        <v>46295</v>
      </c>
      <c r="AP13" s="372">
        <f>'Disc Fact Paid Loss'!AP13</f>
        <v>5.4830074799384787E-2</v>
      </c>
    </row>
    <row r="14" spans="1:42" ht="15" customHeight="1" x14ac:dyDescent="0.2">
      <c r="A14" s="21">
        <v>6</v>
      </c>
      <c r="B14" s="15">
        <f t="shared" si="16"/>
        <v>5.6452087208339941E-2</v>
      </c>
      <c r="C14" s="15">
        <f t="shared" si="0"/>
        <v>5.6452087208339941E-2</v>
      </c>
      <c r="D14" s="40"/>
      <c r="E14" s="21">
        <v>56</v>
      </c>
      <c r="F14" s="15">
        <f t="shared" si="1"/>
        <v>7.0643829390514739E-4</v>
      </c>
      <c r="G14" s="15">
        <f t="shared" si="2"/>
        <v>7.0643829390514739E-4</v>
      </c>
      <c r="H14" s="40"/>
      <c r="I14" s="21">
        <v>106</v>
      </c>
      <c r="J14" s="15">
        <f t="shared" si="3"/>
        <v>1.2280886748306512E-3</v>
      </c>
      <c r="K14" s="15">
        <f t="shared" si="4"/>
        <v>1.2280886748306512E-3</v>
      </c>
      <c r="L14" s="40"/>
      <c r="M14" s="21">
        <v>156</v>
      </c>
      <c r="N14" s="15">
        <f t="shared" si="5"/>
        <v>0</v>
      </c>
      <c r="O14" s="15">
        <f t="shared" si="6"/>
        <v>0</v>
      </c>
      <c r="P14" s="40"/>
      <c r="Q14" s="21">
        <v>206</v>
      </c>
      <c r="R14" s="15">
        <f t="shared" si="7"/>
        <v>0</v>
      </c>
      <c r="S14" s="15">
        <f t="shared" si="8"/>
        <v>0</v>
      </c>
      <c r="T14" s="40"/>
      <c r="U14" s="21">
        <v>256</v>
      </c>
      <c r="V14" s="15">
        <f t="shared" si="9"/>
        <v>0</v>
      </c>
      <c r="W14" s="15">
        <f t="shared" si="10"/>
        <v>0</v>
      </c>
      <c r="X14" s="40"/>
      <c r="Y14" s="21">
        <v>306</v>
      </c>
      <c r="Z14" s="15">
        <f t="shared" si="11"/>
        <v>0</v>
      </c>
      <c r="AA14" s="15">
        <f t="shared" si="12"/>
        <v>0</v>
      </c>
      <c r="AB14" s="40"/>
      <c r="AC14" s="21">
        <v>356</v>
      </c>
      <c r="AD14" s="15">
        <f t="shared" si="13"/>
        <v>0</v>
      </c>
      <c r="AE14" s="15">
        <f t="shared" si="14"/>
        <v>0</v>
      </c>
      <c r="AF14" s="20"/>
      <c r="AG14" s="25">
        <f>ROUND(AG13+0.01,2)</f>
        <v>0.02</v>
      </c>
      <c r="AH14" s="26" t="s">
        <v>222</v>
      </c>
      <c r="AI14" s="63"/>
      <c r="AJ14" s="42">
        <f t="shared" si="17"/>
        <v>6</v>
      </c>
      <c r="AK14" s="64">
        <f>'Disc Fact Paid Loss'!AK14</f>
        <v>5.6452087208339941E-2</v>
      </c>
      <c r="AL14" s="19"/>
      <c r="AM14" s="80">
        <f t="shared" si="15"/>
        <v>6</v>
      </c>
      <c r="AN14" s="369">
        <f>'Disc Fact Paid Loss'!AN14</f>
        <v>46296</v>
      </c>
      <c r="AO14" s="370">
        <f>'Disc Fact Paid Loss'!AO14</f>
        <v>46387</v>
      </c>
      <c r="AP14" s="372">
        <f>'Disc Fact Paid Loss'!AP14</f>
        <v>5.6452087208339941E-2</v>
      </c>
    </row>
    <row r="15" spans="1:42" ht="15" customHeight="1" x14ac:dyDescent="0.2">
      <c r="A15" s="10">
        <v>7</v>
      </c>
      <c r="B15" s="15">
        <f t="shared" si="16"/>
        <v>5.7837699243069668E-2</v>
      </c>
      <c r="C15" s="15">
        <f t="shared" si="0"/>
        <v>5.7837699243069668E-2</v>
      </c>
      <c r="D15" s="40"/>
      <c r="E15" s="10">
        <v>57</v>
      </c>
      <c r="F15" s="15">
        <f t="shared" si="1"/>
        <v>7.1096805972252974E-4</v>
      </c>
      <c r="G15" s="15">
        <f t="shared" si="2"/>
        <v>7.1096805972252974E-4</v>
      </c>
      <c r="H15" s="40"/>
      <c r="I15" s="10">
        <v>107</v>
      </c>
      <c r="J15" s="15">
        <f t="shared" si="3"/>
        <v>1.2215213557139099E-3</v>
      </c>
      <c r="K15" s="15">
        <f t="shared" si="4"/>
        <v>1.2215213557139099E-3</v>
      </c>
      <c r="L15" s="40"/>
      <c r="M15" s="10">
        <v>157</v>
      </c>
      <c r="N15" s="15">
        <f t="shared" si="5"/>
        <v>0</v>
      </c>
      <c r="O15" s="15">
        <f t="shared" si="6"/>
        <v>0</v>
      </c>
      <c r="P15" s="40"/>
      <c r="Q15" s="10">
        <v>207</v>
      </c>
      <c r="R15" s="15">
        <f t="shared" si="7"/>
        <v>0</v>
      </c>
      <c r="S15" s="15">
        <f t="shared" si="8"/>
        <v>0</v>
      </c>
      <c r="T15" s="40"/>
      <c r="U15" s="10">
        <v>257</v>
      </c>
      <c r="V15" s="15">
        <f t="shared" si="9"/>
        <v>0</v>
      </c>
      <c r="W15" s="15">
        <f t="shared" si="10"/>
        <v>0</v>
      </c>
      <c r="X15" s="40"/>
      <c r="Y15" s="10">
        <v>307</v>
      </c>
      <c r="Z15" s="15">
        <f t="shared" si="11"/>
        <v>0</v>
      </c>
      <c r="AA15" s="15">
        <f t="shared" si="12"/>
        <v>0</v>
      </c>
      <c r="AB15" s="40"/>
      <c r="AC15" s="10">
        <v>357</v>
      </c>
      <c r="AD15" s="15">
        <f t="shared" si="13"/>
        <v>0</v>
      </c>
      <c r="AE15" s="15">
        <f t="shared" si="14"/>
        <v>0</v>
      </c>
      <c r="AF15" s="20"/>
      <c r="AG15" s="25">
        <f t="shared" ref="AG15:AG24" si="18">ROUND(AG14+0.01,2)</f>
        <v>0.03</v>
      </c>
      <c r="AH15" s="26" t="s">
        <v>222</v>
      </c>
      <c r="AI15" s="63"/>
      <c r="AJ15" s="42">
        <f t="shared" si="17"/>
        <v>7</v>
      </c>
      <c r="AK15" s="64">
        <f>'Disc Fact Paid Loss'!AK15</f>
        <v>5.7837699243069668E-2</v>
      </c>
      <c r="AL15" s="19"/>
      <c r="AM15" s="80">
        <f t="shared" si="15"/>
        <v>7</v>
      </c>
      <c r="AN15" s="369">
        <f>'Disc Fact Paid Loss'!AN15</f>
        <v>46388</v>
      </c>
      <c r="AO15" s="370">
        <f>'Disc Fact Paid Loss'!AO15</f>
        <v>46477</v>
      </c>
      <c r="AP15" s="372">
        <f>'Disc Fact Paid Loss'!AP15</f>
        <v>5.7837699243069668E-2</v>
      </c>
    </row>
    <row r="16" spans="1:42" ht="15" customHeight="1" x14ac:dyDescent="0.2">
      <c r="A16" s="21">
        <v>8</v>
      </c>
      <c r="B16" s="15">
        <f t="shared" si="16"/>
        <v>5.9038800926713167E-2</v>
      </c>
      <c r="C16" s="15">
        <f t="shared" si="0"/>
        <v>5.9038800926713167E-2</v>
      </c>
      <c r="D16" s="40"/>
      <c r="E16" s="21">
        <v>58</v>
      </c>
      <c r="F16" s="15">
        <f t="shared" si="1"/>
        <v>7.2659636677600847E-4</v>
      </c>
      <c r="G16" s="15">
        <f t="shared" si="2"/>
        <v>7.2659636677600847E-4</v>
      </c>
      <c r="H16" s="40"/>
      <c r="I16" s="21">
        <v>108</v>
      </c>
      <c r="J16" s="15">
        <f t="shared" si="3"/>
        <v>1.2149540365971685E-3</v>
      </c>
      <c r="K16" s="15">
        <f t="shared" si="4"/>
        <v>1.2149540365971685E-3</v>
      </c>
      <c r="L16" s="40"/>
      <c r="M16" s="21">
        <v>158</v>
      </c>
      <c r="N16" s="15">
        <f t="shared" si="5"/>
        <v>0</v>
      </c>
      <c r="O16" s="15">
        <f t="shared" si="6"/>
        <v>0</v>
      </c>
      <c r="P16" s="40"/>
      <c r="Q16" s="21">
        <v>208</v>
      </c>
      <c r="R16" s="15">
        <f t="shared" si="7"/>
        <v>0</v>
      </c>
      <c r="S16" s="15">
        <f t="shared" si="8"/>
        <v>0</v>
      </c>
      <c r="T16" s="40"/>
      <c r="U16" s="21">
        <v>258</v>
      </c>
      <c r="V16" s="15">
        <f t="shared" si="9"/>
        <v>0</v>
      </c>
      <c r="W16" s="15">
        <f t="shared" si="10"/>
        <v>0</v>
      </c>
      <c r="X16" s="40"/>
      <c r="Y16" s="21">
        <v>308</v>
      </c>
      <c r="Z16" s="15">
        <f t="shared" si="11"/>
        <v>0</v>
      </c>
      <c r="AA16" s="15">
        <f t="shared" si="12"/>
        <v>0</v>
      </c>
      <c r="AB16" s="40"/>
      <c r="AC16" s="21">
        <v>358</v>
      </c>
      <c r="AD16" s="15">
        <f t="shared" si="13"/>
        <v>0</v>
      </c>
      <c r="AE16" s="15">
        <f t="shared" si="14"/>
        <v>0</v>
      </c>
      <c r="AF16" s="20"/>
      <c r="AG16" s="25">
        <f t="shared" si="18"/>
        <v>0.04</v>
      </c>
      <c r="AH16" s="26" t="s">
        <v>222</v>
      </c>
      <c r="AI16" s="63"/>
      <c r="AJ16" s="42">
        <f t="shared" si="17"/>
        <v>8</v>
      </c>
      <c r="AK16" s="64">
        <f>'Disc Fact Paid Loss'!AK16</f>
        <v>5.9038800926713167E-2</v>
      </c>
      <c r="AL16" s="19"/>
      <c r="AM16" s="80">
        <f t="shared" si="15"/>
        <v>8</v>
      </c>
      <c r="AN16" s="369">
        <f>'Disc Fact Paid Loss'!AN16</f>
        <v>46478</v>
      </c>
      <c r="AO16" s="370">
        <f>'Disc Fact Paid Loss'!AO16</f>
        <v>46568</v>
      </c>
      <c r="AP16" s="372">
        <f>'Disc Fact Paid Loss'!AP16</f>
        <v>5.9038800926713167E-2</v>
      </c>
    </row>
    <row r="17" spans="1:42" ht="15" customHeight="1" x14ac:dyDescent="0.2">
      <c r="A17" s="10">
        <v>9</v>
      </c>
      <c r="B17" s="15">
        <f t="shared" si="16"/>
        <v>5.8065482708997126E-2</v>
      </c>
      <c r="C17" s="15">
        <f t="shared" si="0"/>
        <v>5.8065482708997126E-2</v>
      </c>
      <c r="D17" s="40"/>
      <c r="E17" s="10">
        <v>59</v>
      </c>
      <c r="F17" s="15">
        <f t="shared" si="1"/>
        <v>7.3772136279402962E-4</v>
      </c>
      <c r="G17" s="15">
        <f t="shared" si="2"/>
        <v>7.3772136279402962E-4</v>
      </c>
      <c r="H17" s="40"/>
      <c r="I17" s="10">
        <v>109</v>
      </c>
      <c r="J17" s="15">
        <f t="shared" si="3"/>
        <v>1.2215213557139099E-3</v>
      </c>
      <c r="K17" s="15">
        <f t="shared" si="4"/>
        <v>1.2215213557139099E-3</v>
      </c>
      <c r="L17" s="40"/>
      <c r="M17" s="10">
        <v>159</v>
      </c>
      <c r="N17" s="15">
        <f t="shared" si="5"/>
        <v>0</v>
      </c>
      <c r="O17" s="15">
        <f t="shared" si="6"/>
        <v>0</v>
      </c>
      <c r="P17" s="40"/>
      <c r="Q17" s="10">
        <v>209</v>
      </c>
      <c r="R17" s="15">
        <f t="shared" si="7"/>
        <v>0</v>
      </c>
      <c r="S17" s="15">
        <f t="shared" si="8"/>
        <v>0</v>
      </c>
      <c r="T17" s="40"/>
      <c r="U17" s="10">
        <v>259</v>
      </c>
      <c r="V17" s="15">
        <f t="shared" si="9"/>
        <v>0</v>
      </c>
      <c r="W17" s="15">
        <f t="shared" si="10"/>
        <v>0</v>
      </c>
      <c r="X17" s="40"/>
      <c r="Y17" s="10">
        <v>309</v>
      </c>
      <c r="Z17" s="15">
        <f t="shared" si="11"/>
        <v>0</v>
      </c>
      <c r="AA17" s="15">
        <f t="shared" si="12"/>
        <v>0</v>
      </c>
      <c r="AB17" s="40"/>
      <c r="AC17" s="10">
        <v>359</v>
      </c>
      <c r="AD17" s="15">
        <f t="shared" si="13"/>
        <v>0</v>
      </c>
      <c r="AE17" s="15">
        <f t="shared" si="14"/>
        <v>0</v>
      </c>
      <c r="AF17" s="20"/>
      <c r="AG17" s="25">
        <f t="shared" si="18"/>
        <v>0.05</v>
      </c>
      <c r="AH17" s="26" t="s">
        <v>222</v>
      </c>
      <c r="AI17" s="63"/>
      <c r="AJ17" s="42">
        <f t="shared" si="17"/>
        <v>9</v>
      </c>
      <c r="AK17" s="64">
        <f>'Disc Fact Paid Loss'!AK17</f>
        <v>5.8065482708997126E-2</v>
      </c>
      <c r="AL17" s="19"/>
      <c r="AM17" s="80">
        <f t="shared" si="15"/>
        <v>9</v>
      </c>
      <c r="AN17" s="369">
        <f>'Disc Fact Paid Loss'!AN17</f>
        <v>46569</v>
      </c>
      <c r="AO17" s="370">
        <f>'Disc Fact Paid Loss'!AO17</f>
        <v>46660</v>
      </c>
      <c r="AP17" s="372">
        <f>'Disc Fact Paid Loss'!AP17</f>
        <v>5.8065482708997126E-2</v>
      </c>
    </row>
    <row r="18" spans="1:42" ht="15" customHeight="1" x14ac:dyDescent="0.2">
      <c r="A18" s="21">
        <v>10</v>
      </c>
      <c r="B18" s="15">
        <f t="shared" si="16"/>
        <v>5.4902176547366871E-2</v>
      </c>
      <c r="C18" s="15">
        <f t="shared" si="0"/>
        <v>5.4902176547366871E-2</v>
      </c>
      <c r="D18" s="40"/>
      <c r="E18" s="21">
        <v>60</v>
      </c>
      <c r="F18" s="15">
        <f t="shared" si="1"/>
        <v>7.4720510956871405E-4</v>
      </c>
      <c r="G18" s="15">
        <f t="shared" si="2"/>
        <v>7.4720510956871405E-4</v>
      </c>
      <c r="H18" s="40"/>
      <c r="I18" s="21">
        <v>110</v>
      </c>
      <c r="J18" s="15">
        <f t="shared" si="3"/>
        <v>1.2280886748306512E-3</v>
      </c>
      <c r="K18" s="15">
        <f t="shared" si="4"/>
        <v>1.2280886748306512E-3</v>
      </c>
      <c r="L18" s="40"/>
      <c r="M18" s="21">
        <v>160</v>
      </c>
      <c r="N18" s="15">
        <f t="shared" si="5"/>
        <v>0</v>
      </c>
      <c r="O18" s="15">
        <f t="shared" si="6"/>
        <v>0</v>
      </c>
      <c r="P18" s="40"/>
      <c r="Q18" s="21">
        <v>210</v>
      </c>
      <c r="R18" s="15">
        <f t="shared" si="7"/>
        <v>0</v>
      </c>
      <c r="S18" s="15">
        <f t="shared" si="8"/>
        <v>0</v>
      </c>
      <c r="T18" s="40"/>
      <c r="U18" s="21">
        <v>260</v>
      </c>
      <c r="V18" s="15">
        <f t="shared" si="9"/>
        <v>0</v>
      </c>
      <c r="W18" s="15">
        <f t="shared" si="10"/>
        <v>0</v>
      </c>
      <c r="X18" s="40"/>
      <c r="Y18" s="21">
        <v>310</v>
      </c>
      <c r="Z18" s="15">
        <f t="shared" si="11"/>
        <v>0</v>
      </c>
      <c r="AA18" s="15">
        <f t="shared" si="12"/>
        <v>0</v>
      </c>
      <c r="AB18" s="40"/>
      <c r="AC18" s="21">
        <v>360</v>
      </c>
      <c r="AD18" s="15">
        <f t="shared" si="13"/>
        <v>0</v>
      </c>
      <c r="AE18" s="15">
        <f t="shared" si="14"/>
        <v>0</v>
      </c>
      <c r="AF18" s="20"/>
      <c r="AG18" s="25">
        <f t="shared" si="18"/>
        <v>0.06</v>
      </c>
      <c r="AH18" s="26" t="s">
        <v>222</v>
      </c>
      <c r="AI18" s="63"/>
      <c r="AJ18" s="42">
        <f t="shared" si="17"/>
        <v>10</v>
      </c>
      <c r="AK18" s="64">
        <f>'Disc Fact Paid Loss'!AK18</f>
        <v>5.4902176547366871E-2</v>
      </c>
      <c r="AL18" s="19"/>
      <c r="AM18" s="80">
        <f t="shared" si="15"/>
        <v>10</v>
      </c>
      <c r="AN18" s="369">
        <f>'Disc Fact Paid Loss'!AN18</f>
        <v>46661</v>
      </c>
      <c r="AO18" s="370">
        <f>'Disc Fact Paid Loss'!AO18</f>
        <v>46752</v>
      </c>
      <c r="AP18" s="372">
        <f>'Disc Fact Paid Loss'!AP18</f>
        <v>5.4902176547366871E-2</v>
      </c>
    </row>
    <row r="19" spans="1:42" ht="15" customHeight="1" x14ac:dyDescent="0.2">
      <c r="A19" s="10">
        <v>11</v>
      </c>
      <c r="B19" s="15">
        <f t="shared" si="16"/>
        <v>5.0189696049921378E-2</v>
      </c>
      <c r="C19" s="15">
        <f t="shared" si="0"/>
        <v>5.0189696049921378E-2</v>
      </c>
      <c r="D19" s="40"/>
      <c r="E19" s="10">
        <v>61</v>
      </c>
      <c r="F19" s="15">
        <f t="shared" si="1"/>
        <v>6.9799351574315483E-4</v>
      </c>
      <c r="G19" s="15">
        <f t="shared" si="2"/>
        <v>6.9799351574315483E-4</v>
      </c>
      <c r="H19" s="40"/>
      <c r="I19" s="10">
        <v>111</v>
      </c>
      <c r="J19" s="15">
        <f t="shared" si="3"/>
        <v>1.2215213557139097E-3</v>
      </c>
      <c r="K19" s="15">
        <f t="shared" si="4"/>
        <v>1.2215213557139097E-3</v>
      </c>
      <c r="L19" s="40"/>
      <c r="M19" s="10">
        <v>161</v>
      </c>
      <c r="N19" s="15">
        <f t="shared" si="5"/>
        <v>0</v>
      </c>
      <c r="O19" s="15">
        <f t="shared" si="6"/>
        <v>0</v>
      </c>
      <c r="P19" s="40"/>
      <c r="Q19" s="10">
        <v>211</v>
      </c>
      <c r="R19" s="15">
        <f t="shared" si="7"/>
        <v>0</v>
      </c>
      <c r="S19" s="15">
        <f t="shared" si="8"/>
        <v>0</v>
      </c>
      <c r="T19" s="40"/>
      <c r="U19" s="10">
        <v>261</v>
      </c>
      <c r="V19" s="15">
        <f t="shared" si="9"/>
        <v>0</v>
      </c>
      <c r="W19" s="15">
        <f t="shared" si="10"/>
        <v>0</v>
      </c>
      <c r="X19" s="40"/>
      <c r="Y19" s="10">
        <v>311</v>
      </c>
      <c r="Z19" s="15">
        <f t="shared" si="11"/>
        <v>0</v>
      </c>
      <c r="AA19" s="15">
        <f t="shared" si="12"/>
        <v>0</v>
      </c>
      <c r="AB19" s="40"/>
      <c r="AC19" s="10">
        <v>361</v>
      </c>
      <c r="AD19" s="15">
        <f t="shared" si="13"/>
        <v>0</v>
      </c>
      <c r="AE19" s="15">
        <f t="shared" si="14"/>
        <v>0</v>
      </c>
      <c r="AF19" s="20"/>
      <c r="AG19" s="25">
        <f t="shared" si="18"/>
        <v>7.0000000000000007E-2</v>
      </c>
      <c r="AH19" s="26" t="s">
        <v>222</v>
      </c>
      <c r="AI19" s="63"/>
      <c r="AJ19" s="42">
        <f t="shared" si="17"/>
        <v>11</v>
      </c>
      <c r="AK19" s="64">
        <f>'Disc Fact Paid Loss'!AK19</f>
        <v>5.0189696049921378E-2</v>
      </c>
      <c r="AL19" s="19"/>
      <c r="AM19" s="80">
        <f t="shared" si="15"/>
        <v>11</v>
      </c>
      <c r="AN19" s="369">
        <f>'Disc Fact Paid Loss'!AN19</f>
        <v>46753</v>
      </c>
      <c r="AO19" s="370">
        <f>'Disc Fact Paid Loss'!AO19</f>
        <v>46843</v>
      </c>
      <c r="AP19" s="372">
        <f>'Disc Fact Paid Loss'!AP19</f>
        <v>5.0189696049921378E-2</v>
      </c>
    </row>
    <row r="20" spans="1:42" ht="15" customHeight="1" x14ac:dyDescent="0.2">
      <c r="A20" s="21">
        <v>12</v>
      </c>
      <c r="B20" s="15">
        <f t="shared" si="16"/>
        <v>4.5960375663971043E-2</v>
      </c>
      <c r="C20" s="15">
        <f t="shared" si="0"/>
        <v>4.5960375663971043E-2</v>
      </c>
      <c r="D20" s="40"/>
      <c r="E20" s="21">
        <v>62</v>
      </c>
      <c r="F20" s="15">
        <f t="shared" si="1"/>
        <v>5.9972358484955619E-4</v>
      </c>
      <c r="G20" s="15">
        <f t="shared" si="2"/>
        <v>5.9972358484955619E-4</v>
      </c>
      <c r="H20" s="40"/>
      <c r="I20" s="21">
        <v>112</v>
      </c>
      <c r="J20" s="15">
        <f t="shared" si="3"/>
        <v>1.2149540365971685E-3</v>
      </c>
      <c r="K20" s="15">
        <f t="shared" si="4"/>
        <v>1.2149540365971685E-3</v>
      </c>
      <c r="L20" s="40"/>
      <c r="M20" s="21">
        <v>162</v>
      </c>
      <c r="N20" s="15">
        <f t="shared" si="5"/>
        <v>0</v>
      </c>
      <c r="O20" s="15">
        <f t="shared" si="6"/>
        <v>0</v>
      </c>
      <c r="P20" s="40"/>
      <c r="Q20" s="21">
        <v>212</v>
      </c>
      <c r="R20" s="15">
        <f t="shared" si="7"/>
        <v>0</v>
      </c>
      <c r="S20" s="15">
        <f t="shared" si="8"/>
        <v>0</v>
      </c>
      <c r="T20" s="40"/>
      <c r="U20" s="21">
        <v>262</v>
      </c>
      <c r="V20" s="15">
        <f t="shared" si="9"/>
        <v>0</v>
      </c>
      <c r="W20" s="15">
        <f t="shared" si="10"/>
        <v>0</v>
      </c>
      <c r="X20" s="40"/>
      <c r="Y20" s="21">
        <v>312</v>
      </c>
      <c r="Z20" s="15">
        <f t="shared" si="11"/>
        <v>0</v>
      </c>
      <c r="AA20" s="15">
        <f t="shared" si="12"/>
        <v>0</v>
      </c>
      <c r="AB20" s="40"/>
      <c r="AC20" s="21">
        <v>362</v>
      </c>
      <c r="AD20" s="15">
        <f t="shared" si="13"/>
        <v>0</v>
      </c>
      <c r="AE20" s="15">
        <f t="shared" si="14"/>
        <v>0</v>
      </c>
      <c r="AF20" s="20"/>
      <c r="AG20" s="25">
        <v>0.08</v>
      </c>
      <c r="AH20" s="26" t="s">
        <v>222</v>
      </c>
      <c r="AJ20" s="42">
        <f t="shared" si="17"/>
        <v>12</v>
      </c>
      <c r="AK20" s="64">
        <f>'Disc Fact Paid Loss'!AK20</f>
        <v>4.5960375663971043E-2</v>
      </c>
      <c r="AL20" s="19"/>
      <c r="AM20" s="80">
        <f t="shared" si="15"/>
        <v>12</v>
      </c>
      <c r="AN20" s="369">
        <f>'Disc Fact Paid Loss'!AN20</f>
        <v>46844</v>
      </c>
      <c r="AO20" s="370">
        <f>'Disc Fact Paid Loss'!AO20</f>
        <v>46934</v>
      </c>
      <c r="AP20" s="372">
        <f>'Disc Fact Paid Loss'!AP20</f>
        <v>4.5960375663971043E-2</v>
      </c>
    </row>
    <row r="21" spans="1:42" ht="15" customHeight="1" x14ac:dyDescent="0.2">
      <c r="A21" s="10">
        <v>13</v>
      </c>
      <c r="B21" s="15">
        <f t="shared" si="16"/>
        <v>4.2681626386620881E-2</v>
      </c>
      <c r="C21" s="15">
        <f t="shared" si="0"/>
        <v>4.2681626386620881E-2</v>
      </c>
      <c r="D21" s="40"/>
      <c r="E21" s="10">
        <v>63</v>
      </c>
      <c r="F21" s="15">
        <f t="shared" si="1"/>
        <v>4.6680050651691686E-4</v>
      </c>
      <c r="G21" s="15">
        <f t="shared" si="2"/>
        <v>4.6680050651691686E-4</v>
      </c>
      <c r="H21" s="40"/>
      <c r="I21" s="10">
        <v>113</v>
      </c>
      <c r="J21" s="15">
        <f t="shared" si="3"/>
        <v>1.2215213557139099E-3</v>
      </c>
      <c r="K21" s="15">
        <f t="shared" si="4"/>
        <v>1.2215213557139099E-3</v>
      </c>
      <c r="L21" s="40"/>
      <c r="M21" s="10">
        <v>163</v>
      </c>
      <c r="N21" s="15">
        <f t="shared" si="5"/>
        <v>0</v>
      </c>
      <c r="O21" s="15">
        <f t="shared" si="6"/>
        <v>0</v>
      </c>
      <c r="P21" s="40"/>
      <c r="Q21" s="10">
        <v>213</v>
      </c>
      <c r="R21" s="15">
        <f t="shared" si="7"/>
        <v>0</v>
      </c>
      <c r="S21" s="15">
        <f t="shared" si="8"/>
        <v>0</v>
      </c>
      <c r="T21" s="40"/>
      <c r="U21" s="10">
        <v>263</v>
      </c>
      <c r="V21" s="15">
        <f t="shared" si="9"/>
        <v>0</v>
      </c>
      <c r="W21" s="15">
        <f t="shared" si="10"/>
        <v>0</v>
      </c>
      <c r="X21" s="40"/>
      <c r="Y21" s="10">
        <v>313</v>
      </c>
      <c r="Z21" s="15">
        <f t="shared" si="11"/>
        <v>0</v>
      </c>
      <c r="AA21" s="15">
        <f t="shared" si="12"/>
        <v>0</v>
      </c>
      <c r="AB21" s="40"/>
      <c r="AC21" s="10">
        <v>363</v>
      </c>
      <c r="AD21" s="15">
        <f t="shared" si="13"/>
        <v>0</v>
      </c>
      <c r="AE21" s="15">
        <f t="shared" si="14"/>
        <v>0</v>
      </c>
      <c r="AF21" s="20"/>
      <c r="AG21" s="25">
        <f t="shared" si="18"/>
        <v>0.09</v>
      </c>
      <c r="AH21" s="26" t="s">
        <v>222</v>
      </c>
      <c r="AI21" s="17"/>
      <c r="AJ21" s="42">
        <f t="shared" si="17"/>
        <v>13</v>
      </c>
      <c r="AK21" s="64">
        <f>'Disc Fact Paid Loss'!AK21</f>
        <v>4.2681626386620881E-2</v>
      </c>
      <c r="AL21" s="19"/>
      <c r="AM21" s="80">
        <f t="shared" si="15"/>
        <v>13</v>
      </c>
      <c r="AN21" s="369">
        <f>'Disc Fact Paid Loss'!AN21</f>
        <v>46935</v>
      </c>
      <c r="AO21" s="370">
        <f>'Disc Fact Paid Loss'!AO21</f>
        <v>47026</v>
      </c>
      <c r="AP21" s="372">
        <f>'Disc Fact Paid Loss'!AP21</f>
        <v>4.2681626386620881E-2</v>
      </c>
    </row>
    <row r="22" spans="1:42" ht="15" customHeight="1" x14ac:dyDescent="0.2">
      <c r="A22" s="21">
        <v>14</v>
      </c>
      <c r="B22" s="15">
        <f t="shared" si="16"/>
        <v>4.0241505079704004E-2</v>
      </c>
      <c r="C22" s="15">
        <f t="shared" si="0"/>
        <v>4.0241505079704004E-2</v>
      </c>
      <c r="D22" s="40"/>
      <c r="E22" s="21">
        <v>64</v>
      </c>
      <c r="F22" s="15">
        <f t="shared" si="1"/>
        <v>3.4806054981390271E-4</v>
      </c>
      <c r="G22" s="15">
        <f t="shared" si="2"/>
        <v>3.4806054981390271E-4</v>
      </c>
      <c r="H22" s="40"/>
      <c r="I22" s="21">
        <v>114</v>
      </c>
      <c r="J22" s="15">
        <f t="shared" si="3"/>
        <v>1.2280886748306512E-3</v>
      </c>
      <c r="K22" s="15">
        <f t="shared" si="4"/>
        <v>1.2280886748306512E-3</v>
      </c>
      <c r="L22" s="40"/>
      <c r="M22" s="21">
        <v>164</v>
      </c>
      <c r="N22" s="15">
        <f t="shared" si="5"/>
        <v>0</v>
      </c>
      <c r="O22" s="15">
        <f t="shared" si="6"/>
        <v>0</v>
      </c>
      <c r="P22" s="40"/>
      <c r="Q22" s="21">
        <v>214</v>
      </c>
      <c r="R22" s="15">
        <f t="shared" si="7"/>
        <v>0</v>
      </c>
      <c r="S22" s="15">
        <f t="shared" si="8"/>
        <v>0</v>
      </c>
      <c r="T22" s="40"/>
      <c r="U22" s="21">
        <v>264</v>
      </c>
      <c r="V22" s="15">
        <f t="shared" si="9"/>
        <v>0</v>
      </c>
      <c r="W22" s="15">
        <f t="shared" si="10"/>
        <v>0</v>
      </c>
      <c r="X22" s="40"/>
      <c r="Y22" s="21">
        <v>314</v>
      </c>
      <c r="Z22" s="15">
        <f t="shared" si="11"/>
        <v>0</v>
      </c>
      <c r="AA22" s="15">
        <f t="shared" si="12"/>
        <v>0</v>
      </c>
      <c r="AB22" s="40"/>
      <c r="AC22" s="21">
        <v>364</v>
      </c>
      <c r="AD22" s="15">
        <f t="shared" si="13"/>
        <v>0</v>
      </c>
      <c r="AE22" s="15">
        <f t="shared" si="14"/>
        <v>0</v>
      </c>
      <c r="AF22" s="20"/>
      <c r="AG22" s="25">
        <f t="shared" si="18"/>
        <v>0.1</v>
      </c>
      <c r="AH22" s="26" t="s">
        <v>222</v>
      </c>
      <c r="AI22" s="17"/>
      <c r="AJ22" s="42">
        <f t="shared" si="17"/>
        <v>14</v>
      </c>
      <c r="AK22" s="64">
        <f>'Disc Fact Paid Loss'!AK22</f>
        <v>4.0241505079704004E-2</v>
      </c>
      <c r="AL22" s="19"/>
      <c r="AM22" s="80">
        <f t="shared" si="15"/>
        <v>14</v>
      </c>
      <c r="AN22" s="369">
        <f>'Disc Fact Paid Loss'!AN22</f>
        <v>47027</v>
      </c>
      <c r="AO22" s="370">
        <f>'Disc Fact Paid Loss'!AO22</f>
        <v>47118</v>
      </c>
      <c r="AP22" s="372">
        <f>'Disc Fact Paid Loss'!AP22</f>
        <v>4.0241505079704004E-2</v>
      </c>
    </row>
    <row r="23" spans="1:42" ht="15" customHeight="1" x14ac:dyDescent="0.2">
      <c r="A23" s="10">
        <v>15</v>
      </c>
      <c r="B23" s="15">
        <f t="shared" si="16"/>
        <v>3.6632072662820238E-2</v>
      </c>
      <c r="C23" s="15">
        <f t="shared" si="0"/>
        <v>3.6632072662820238E-2</v>
      </c>
      <c r="D23" s="40"/>
      <c r="E23" s="10">
        <v>65</v>
      </c>
      <c r="F23" s="15">
        <f t="shared" si="1"/>
        <v>3.0564820222715342E-4</v>
      </c>
      <c r="G23" s="15">
        <f t="shared" si="2"/>
        <v>3.0564820222715342E-4</v>
      </c>
      <c r="H23" s="40"/>
      <c r="I23" s="10">
        <v>115</v>
      </c>
      <c r="J23" s="15">
        <f t="shared" si="3"/>
        <v>1.2215213557139097E-3</v>
      </c>
      <c r="K23" s="15">
        <f t="shared" si="4"/>
        <v>1.2215213557139097E-3</v>
      </c>
      <c r="L23" s="40"/>
      <c r="M23" s="10">
        <v>165</v>
      </c>
      <c r="N23" s="15">
        <f t="shared" si="5"/>
        <v>0</v>
      </c>
      <c r="O23" s="15">
        <f t="shared" si="6"/>
        <v>0</v>
      </c>
      <c r="P23" s="40"/>
      <c r="Q23" s="10">
        <v>215</v>
      </c>
      <c r="R23" s="15">
        <f t="shared" si="7"/>
        <v>0</v>
      </c>
      <c r="S23" s="15">
        <f t="shared" si="8"/>
        <v>0</v>
      </c>
      <c r="T23" s="40"/>
      <c r="U23" s="10">
        <v>265</v>
      </c>
      <c r="V23" s="15">
        <f t="shared" si="9"/>
        <v>0</v>
      </c>
      <c r="W23" s="15">
        <f t="shared" si="10"/>
        <v>0</v>
      </c>
      <c r="X23" s="40"/>
      <c r="Y23" s="10">
        <v>315</v>
      </c>
      <c r="Z23" s="15">
        <f t="shared" si="11"/>
        <v>0</v>
      </c>
      <c r="AA23" s="15">
        <f t="shared" si="12"/>
        <v>0</v>
      </c>
      <c r="AB23" s="40"/>
      <c r="AC23" s="10">
        <v>365</v>
      </c>
      <c r="AD23" s="15">
        <f t="shared" si="13"/>
        <v>0</v>
      </c>
      <c r="AE23" s="15">
        <f t="shared" si="14"/>
        <v>0</v>
      </c>
      <c r="AF23" s="20"/>
      <c r="AG23" s="25">
        <f t="shared" si="18"/>
        <v>0.11</v>
      </c>
      <c r="AH23" s="26" t="s">
        <v>222</v>
      </c>
      <c r="AI23" s="17"/>
      <c r="AJ23" s="42">
        <f t="shared" si="17"/>
        <v>15</v>
      </c>
      <c r="AK23" s="64">
        <f>'Disc Fact Paid Loss'!AK23</f>
        <v>3.6632072662820238E-2</v>
      </c>
      <c r="AL23" s="19"/>
      <c r="AM23" s="80">
        <f t="shared" si="15"/>
        <v>15</v>
      </c>
      <c r="AN23" s="369">
        <f>'Disc Fact Paid Loss'!AN23</f>
        <v>47119</v>
      </c>
      <c r="AO23" s="370">
        <f>'Disc Fact Paid Loss'!AO23</f>
        <v>47208</v>
      </c>
      <c r="AP23" s="372">
        <f>'Disc Fact Paid Loss'!AP23</f>
        <v>3.6632072662820238E-2</v>
      </c>
    </row>
    <row r="24" spans="1:42" ht="15" customHeight="1" x14ac:dyDescent="0.2">
      <c r="A24" s="21">
        <v>16</v>
      </c>
      <c r="B24" s="15">
        <f t="shared" si="16"/>
        <v>3.339376546532255E-2</v>
      </c>
      <c r="C24" s="15">
        <f t="shared" si="0"/>
        <v>3.339376546532255E-2</v>
      </c>
      <c r="D24" s="40"/>
      <c r="E24" s="21">
        <v>66</v>
      </c>
      <c r="F24" s="15">
        <f t="shared" si="1"/>
        <v>3.2982314197849171E-4</v>
      </c>
      <c r="G24" s="15">
        <f t="shared" si="2"/>
        <v>3.2982314197849171E-4</v>
      </c>
      <c r="H24" s="40"/>
      <c r="I24" s="21">
        <v>116</v>
      </c>
      <c r="J24" s="15">
        <f t="shared" si="3"/>
        <v>1.2149540365971685E-3</v>
      </c>
      <c r="K24" s="15">
        <f t="shared" si="4"/>
        <v>1.2149540365971685E-3</v>
      </c>
      <c r="L24" s="40"/>
      <c r="M24" s="21">
        <v>166</v>
      </c>
      <c r="N24" s="15">
        <f t="shared" si="5"/>
        <v>0</v>
      </c>
      <c r="O24" s="15">
        <f t="shared" si="6"/>
        <v>0</v>
      </c>
      <c r="P24" s="40"/>
      <c r="Q24" s="21">
        <v>216</v>
      </c>
      <c r="R24" s="15">
        <f t="shared" si="7"/>
        <v>0</v>
      </c>
      <c r="S24" s="15">
        <f t="shared" si="8"/>
        <v>0</v>
      </c>
      <c r="T24" s="40"/>
      <c r="U24" s="21">
        <v>266</v>
      </c>
      <c r="V24" s="15">
        <f t="shared" si="9"/>
        <v>0</v>
      </c>
      <c r="W24" s="15">
        <f t="shared" si="10"/>
        <v>0</v>
      </c>
      <c r="X24" s="40"/>
      <c r="Y24" s="21">
        <v>316</v>
      </c>
      <c r="Z24" s="15">
        <f t="shared" si="11"/>
        <v>0</v>
      </c>
      <c r="AA24" s="15">
        <f t="shared" si="12"/>
        <v>0</v>
      </c>
      <c r="AB24" s="40"/>
      <c r="AC24" s="21">
        <v>366</v>
      </c>
      <c r="AD24" s="15">
        <f t="shared" si="13"/>
        <v>0</v>
      </c>
      <c r="AE24" s="15">
        <f t="shared" si="14"/>
        <v>0</v>
      </c>
      <c r="AF24" s="20"/>
      <c r="AG24" s="25">
        <f t="shared" si="18"/>
        <v>0.12</v>
      </c>
      <c r="AH24" s="26" t="s">
        <v>222</v>
      </c>
      <c r="AI24" s="17"/>
      <c r="AJ24" s="42">
        <f t="shared" si="17"/>
        <v>16</v>
      </c>
      <c r="AK24" s="64">
        <f>'Disc Fact Paid Loss'!AK24</f>
        <v>3.339376546532255E-2</v>
      </c>
      <c r="AL24" s="19"/>
      <c r="AM24" s="80">
        <f t="shared" si="15"/>
        <v>16</v>
      </c>
      <c r="AN24" s="369">
        <f>'Disc Fact Paid Loss'!AN24</f>
        <v>47209</v>
      </c>
      <c r="AO24" s="370">
        <f>'Disc Fact Paid Loss'!AO24</f>
        <v>47299</v>
      </c>
      <c r="AP24" s="372">
        <f>'Disc Fact Paid Loss'!AP24</f>
        <v>3.339376546532255E-2</v>
      </c>
    </row>
    <row r="25" spans="1:42" ht="15" customHeight="1" x14ac:dyDescent="0.2">
      <c r="A25" s="10">
        <v>17</v>
      </c>
      <c r="B25" s="15">
        <f t="shared" si="16"/>
        <v>3.0255913468351464E-2</v>
      </c>
      <c r="C25" s="15">
        <f t="shared" si="0"/>
        <v>3.0255913468351464E-2</v>
      </c>
      <c r="D25" s="40"/>
      <c r="E25" s="10">
        <v>67</v>
      </c>
      <c r="F25" s="15">
        <f t="shared" si="1"/>
        <v>3.5670713780926454E-4</v>
      </c>
      <c r="G25" s="15">
        <f t="shared" si="2"/>
        <v>3.5670713780926454E-4</v>
      </c>
      <c r="H25" s="40"/>
      <c r="I25" s="10">
        <v>117</v>
      </c>
      <c r="J25" s="15">
        <f t="shared" si="3"/>
        <v>1.2215213557139099E-3</v>
      </c>
      <c r="K25" s="15">
        <f t="shared" si="4"/>
        <v>1.2215213557139099E-3</v>
      </c>
      <c r="L25" s="40"/>
      <c r="M25" s="10">
        <v>167</v>
      </c>
      <c r="N25" s="15">
        <f t="shared" si="5"/>
        <v>0</v>
      </c>
      <c r="O25" s="15">
        <f t="shared" si="6"/>
        <v>0</v>
      </c>
      <c r="P25" s="40"/>
      <c r="Q25" s="10">
        <v>217</v>
      </c>
      <c r="R25" s="15">
        <f t="shared" si="7"/>
        <v>0</v>
      </c>
      <c r="S25" s="15">
        <f t="shared" si="8"/>
        <v>0</v>
      </c>
      <c r="T25" s="40"/>
      <c r="U25" s="10">
        <v>267</v>
      </c>
      <c r="V25" s="15">
        <f t="shared" si="9"/>
        <v>0</v>
      </c>
      <c r="W25" s="15">
        <f t="shared" si="10"/>
        <v>0</v>
      </c>
      <c r="X25" s="40"/>
      <c r="Y25" s="10">
        <v>317</v>
      </c>
      <c r="Z25" s="15">
        <f t="shared" si="11"/>
        <v>0</v>
      </c>
      <c r="AA25" s="15">
        <f t="shared" si="12"/>
        <v>0</v>
      </c>
      <c r="AB25" s="40"/>
      <c r="AC25" s="10">
        <v>367</v>
      </c>
      <c r="AD25" s="15">
        <f t="shared" si="13"/>
        <v>0</v>
      </c>
      <c r="AE25" s="15">
        <f t="shared" si="14"/>
        <v>0</v>
      </c>
      <c r="AF25" s="20"/>
      <c r="AG25" s="365"/>
      <c r="AH25" s="366"/>
      <c r="AI25" s="17"/>
      <c r="AJ25" s="42">
        <f t="shared" si="17"/>
        <v>17</v>
      </c>
      <c r="AK25" s="64">
        <f>'Disc Fact Paid Loss'!AK25</f>
        <v>3.0255913468351464E-2</v>
      </c>
      <c r="AL25" s="19"/>
      <c r="AM25" s="80">
        <f t="shared" si="15"/>
        <v>17</v>
      </c>
      <c r="AN25" s="369">
        <f>'Disc Fact Paid Loss'!AN25</f>
        <v>47300</v>
      </c>
      <c r="AO25" s="370">
        <f>'Disc Fact Paid Loss'!AO25</f>
        <v>47391</v>
      </c>
      <c r="AP25" s="372">
        <f>'Disc Fact Paid Loss'!AP25</f>
        <v>3.0255913468351464E-2</v>
      </c>
    </row>
    <row r="26" spans="1:42" ht="15" customHeight="1" x14ac:dyDescent="0.2">
      <c r="A26" s="21">
        <v>18</v>
      </c>
      <c r="B26" s="15">
        <f t="shared" si="16"/>
        <v>2.7330780620156113E-2</v>
      </c>
      <c r="C26" s="15">
        <f t="shared" si="0"/>
        <v>2.7330780620156113E-2</v>
      </c>
      <c r="D26" s="40"/>
      <c r="E26" s="21">
        <v>68</v>
      </c>
      <c r="F26" s="15">
        <f t="shared" si="1"/>
        <v>3.8045879371304751E-4</v>
      </c>
      <c r="G26" s="15">
        <f t="shared" si="2"/>
        <v>3.8045879371304751E-4</v>
      </c>
      <c r="H26" s="40"/>
      <c r="I26" s="21">
        <v>118</v>
      </c>
      <c r="J26" s="15">
        <f t="shared" si="3"/>
        <v>1.2280886748306512E-3</v>
      </c>
      <c r="K26" s="15">
        <f t="shared" si="4"/>
        <v>1.2280886748306512E-3</v>
      </c>
      <c r="L26" s="40"/>
      <c r="M26" s="21">
        <v>168</v>
      </c>
      <c r="N26" s="15">
        <f t="shared" si="5"/>
        <v>0</v>
      </c>
      <c r="O26" s="15">
        <f t="shared" si="6"/>
        <v>0</v>
      </c>
      <c r="P26" s="40"/>
      <c r="Q26" s="21">
        <v>218</v>
      </c>
      <c r="R26" s="15">
        <f t="shared" si="7"/>
        <v>0</v>
      </c>
      <c r="S26" s="15">
        <f t="shared" si="8"/>
        <v>0</v>
      </c>
      <c r="T26" s="40"/>
      <c r="U26" s="21">
        <v>268</v>
      </c>
      <c r="V26" s="15">
        <f t="shared" si="9"/>
        <v>0</v>
      </c>
      <c r="W26" s="15">
        <f t="shared" si="10"/>
        <v>0</v>
      </c>
      <c r="X26" s="40"/>
      <c r="Y26" s="21">
        <v>318</v>
      </c>
      <c r="Z26" s="15">
        <f t="shared" si="11"/>
        <v>0</v>
      </c>
      <c r="AA26" s="15">
        <f t="shared" si="12"/>
        <v>0</v>
      </c>
      <c r="AB26" s="40"/>
      <c r="AC26" s="21">
        <v>368</v>
      </c>
      <c r="AD26" s="15">
        <f t="shared" si="13"/>
        <v>0</v>
      </c>
      <c r="AE26" s="15">
        <f t="shared" si="14"/>
        <v>0</v>
      </c>
      <c r="AF26" s="20"/>
      <c r="AG26" s="20"/>
      <c r="AH26" s="17"/>
      <c r="AI26" s="17"/>
      <c r="AJ26" s="42">
        <f t="shared" si="17"/>
        <v>18</v>
      </c>
      <c r="AK26" s="64">
        <f>'Disc Fact Paid Loss'!AK26</f>
        <v>2.7330780620156113E-2</v>
      </c>
      <c r="AL26" s="19"/>
      <c r="AM26" s="80">
        <f t="shared" si="15"/>
        <v>18</v>
      </c>
      <c r="AN26" s="369">
        <f>'Disc Fact Paid Loss'!AN26</f>
        <v>47392</v>
      </c>
      <c r="AO26" s="370">
        <f>'Disc Fact Paid Loss'!AO26</f>
        <v>47483</v>
      </c>
      <c r="AP26" s="372">
        <f>'Disc Fact Paid Loss'!AP26</f>
        <v>2.7330780620156113E-2</v>
      </c>
    </row>
    <row r="27" spans="1:42" ht="15" customHeight="1" x14ac:dyDescent="0.2">
      <c r="A27" s="10">
        <v>19</v>
      </c>
      <c r="B27" s="15">
        <f t="shared" si="16"/>
        <v>2.3258663205174526E-2</v>
      </c>
      <c r="C27" s="15">
        <f t="shared" si="0"/>
        <v>2.3258663205174526E-2</v>
      </c>
      <c r="D27" s="40"/>
      <c r="E27" s="10">
        <v>69</v>
      </c>
      <c r="F27" s="15">
        <f t="shared" si="1"/>
        <v>4.0145707944189054E-4</v>
      </c>
      <c r="G27" s="15">
        <f t="shared" si="2"/>
        <v>4.0145707944189054E-4</v>
      </c>
      <c r="H27" s="40"/>
      <c r="I27" s="10">
        <v>119</v>
      </c>
      <c r="J27" s="15">
        <f t="shared" si="3"/>
        <v>1.2215213557139097E-3</v>
      </c>
      <c r="K27" s="15">
        <f t="shared" si="4"/>
        <v>1.2215213557139097E-3</v>
      </c>
      <c r="L27" s="40"/>
      <c r="M27" s="10">
        <v>169</v>
      </c>
      <c r="N27" s="15">
        <f t="shared" si="5"/>
        <v>0</v>
      </c>
      <c r="O27" s="15">
        <f t="shared" si="6"/>
        <v>0</v>
      </c>
      <c r="P27" s="40"/>
      <c r="Q27" s="10">
        <v>219</v>
      </c>
      <c r="R27" s="15">
        <f t="shared" si="7"/>
        <v>0</v>
      </c>
      <c r="S27" s="15">
        <f t="shared" si="8"/>
        <v>0</v>
      </c>
      <c r="T27" s="40"/>
      <c r="U27" s="10">
        <v>269</v>
      </c>
      <c r="V27" s="15">
        <f t="shared" si="9"/>
        <v>0</v>
      </c>
      <c r="W27" s="15">
        <f t="shared" si="10"/>
        <v>0</v>
      </c>
      <c r="X27" s="40"/>
      <c r="Y27" s="10">
        <v>319</v>
      </c>
      <c r="Z27" s="15">
        <f t="shared" si="11"/>
        <v>0</v>
      </c>
      <c r="AA27" s="15">
        <f t="shared" si="12"/>
        <v>0</v>
      </c>
      <c r="AB27" s="40"/>
      <c r="AC27" s="10">
        <v>369</v>
      </c>
      <c r="AD27" s="15">
        <f t="shared" si="13"/>
        <v>0</v>
      </c>
      <c r="AE27" s="15">
        <f t="shared" si="14"/>
        <v>0</v>
      </c>
      <c r="AF27" s="20"/>
      <c r="AG27" s="20"/>
      <c r="AH27" s="17"/>
      <c r="AI27" s="17"/>
      <c r="AJ27" s="42">
        <f t="shared" si="17"/>
        <v>19</v>
      </c>
      <c r="AK27" s="64">
        <f>'Disc Fact Paid Loss'!AK27</f>
        <v>2.3258663205174526E-2</v>
      </c>
      <c r="AL27" s="19"/>
      <c r="AM27" s="80">
        <f t="shared" si="15"/>
        <v>19</v>
      </c>
      <c r="AN27" s="369">
        <f>'Disc Fact Paid Loss'!AN27</f>
        <v>47484</v>
      </c>
      <c r="AO27" s="370">
        <f>'Disc Fact Paid Loss'!AO27</f>
        <v>47573</v>
      </c>
      <c r="AP27" s="372">
        <f>'Disc Fact Paid Loss'!AP27</f>
        <v>2.3258663205174526E-2</v>
      </c>
    </row>
    <row r="28" spans="1:42" ht="15" customHeight="1" x14ac:dyDescent="0.2">
      <c r="A28" s="21">
        <v>20</v>
      </c>
      <c r="B28" s="15">
        <f t="shared" si="16"/>
        <v>1.9615809857855333E-2</v>
      </c>
      <c r="C28" s="15">
        <f t="shared" si="0"/>
        <v>1.9615809857855333E-2</v>
      </c>
      <c r="D28" s="40"/>
      <c r="E28" s="21">
        <v>70</v>
      </c>
      <c r="F28" s="15">
        <f t="shared" si="1"/>
        <v>4.1423804196830246E-4</v>
      </c>
      <c r="G28" s="15">
        <f t="shared" si="2"/>
        <v>4.1423804196830246E-4</v>
      </c>
      <c r="H28" s="40"/>
      <c r="I28" s="21">
        <v>120</v>
      </c>
      <c r="J28" s="15">
        <f t="shared" si="3"/>
        <v>1.2149540365971685E-3</v>
      </c>
      <c r="K28" s="15">
        <f t="shared" si="4"/>
        <v>1.2149540365971685E-3</v>
      </c>
      <c r="L28" s="40"/>
      <c r="M28" s="21">
        <v>170</v>
      </c>
      <c r="N28" s="15">
        <f t="shared" si="5"/>
        <v>0</v>
      </c>
      <c r="O28" s="15">
        <f t="shared" si="6"/>
        <v>0</v>
      </c>
      <c r="P28" s="40"/>
      <c r="Q28" s="21">
        <v>220</v>
      </c>
      <c r="R28" s="15">
        <f t="shared" si="7"/>
        <v>0</v>
      </c>
      <c r="S28" s="15">
        <f t="shared" si="8"/>
        <v>0</v>
      </c>
      <c r="T28" s="40"/>
      <c r="U28" s="21">
        <v>270</v>
      </c>
      <c r="V28" s="15">
        <f t="shared" si="9"/>
        <v>0</v>
      </c>
      <c r="W28" s="15">
        <f t="shared" si="10"/>
        <v>0</v>
      </c>
      <c r="X28" s="40"/>
      <c r="Y28" s="21">
        <v>320</v>
      </c>
      <c r="Z28" s="15">
        <f t="shared" si="11"/>
        <v>0</v>
      </c>
      <c r="AA28" s="15">
        <f t="shared" si="12"/>
        <v>0</v>
      </c>
      <c r="AB28" s="40"/>
      <c r="AC28" s="21">
        <v>370</v>
      </c>
      <c r="AD28" s="15">
        <f t="shared" si="13"/>
        <v>0</v>
      </c>
      <c r="AE28" s="15">
        <f t="shared" si="14"/>
        <v>0</v>
      </c>
      <c r="AF28" s="20"/>
      <c r="AG28" s="20"/>
      <c r="AH28" s="17"/>
      <c r="AI28" s="17"/>
      <c r="AJ28" s="42">
        <f t="shared" si="17"/>
        <v>20</v>
      </c>
      <c r="AK28" s="64">
        <f>'Disc Fact Paid Loss'!AK28</f>
        <v>1.9615809857855333E-2</v>
      </c>
      <c r="AL28" s="19"/>
      <c r="AM28" s="80">
        <f t="shared" si="15"/>
        <v>20</v>
      </c>
      <c r="AN28" s="369">
        <f>'Disc Fact Paid Loss'!AN28</f>
        <v>47574</v>
      </c>
      <c r="AO28" s="370">
        <f>'Disc Fact Paid Loss'!AO28</f>
        <v>47664</v>
      </c>
      <c r="AP28" s="372">
        <f>'Disc Fact Paid Loss'!AP28</f>
        <v>1.9615809857855333E-2</v>
      </c>
    </row>
    <row r="29" spans="1:42" ht="15" customHeight="1" x14ac:dyDescent="0.2">
      <c r="A29" s="10">
        <v>21</v>
      </c>
      <c r="B29" s="15">
        <f t="shared" si="16"/>
        <v>1.6843344403173099E-2</v>
      </c>
      <c r="C29" s="15">
        <f t="shared" si="0"/>
        <v>1.6843344403173099E-2</v>
      </c>
      <c r="D29" s="40"/>
      <c r="E29" s="10">
        <v>71</v>
      </c>
      <c r="F29" s="15">
        <f t="shared" si="1"/>
        <v>4.2552889480165681E-4</v>
      </c>
      <c r="G29" s="15">
        <f t="shared" si="2"/>
        <v>4.2552889480165681E-4</v>
      </c>
      <c r="H29" s="40"/>
      <c r="I29" s="10">
        <v>121</v>
      </c>
      <c r="J29" s="15">
        <f t="shared" si="3"/>
        <v>1.2215213557139099E-3</v>
      </c>
      <c r="K29" s="15">
        <f t="shared" si="4"/>
        <v>1.2215213557139099E-3</v>
      </c>
      <c r="L29" s="40"/>
      <c r="M29" s="10">
        <v>171</v>
      </c>
      <c r="N29" s="15">
        <f t="shared" si="5"/>
        <v>0</v>
      </c>
      <c r="O29" s="15">
        <f t="shared" si="6"/>
        <v>0</v>
      </c>
      <c r="P29" s="40"/>
      <c r="Q29" s="10">
        <v>221</v>
      </c>
      <c r="R29" s="15">
        <f t="shared" si="7"/>
        <v>0</v>
      </c>
      <c r="S29" s="15">
        <f t="shared" si="8"/>
        <v>0</v>
      </c>
      <c r="T29" s="40"/>
      <c r="U29" s="10">
        <v>271</v>
      </c>
      <c r="V29" s="15">
        <f t="shared" si="9"/>
        <v>0</v>
      </c>
      <c r="W29" s="15">
        <f t="shared" si="10"/>
        <v>0</v>
      </c>
      <c r="X29" s="40"/>
      <c r="Y29" s="10">
        <v>321</v>
      </c>
      <c r="Z29" s="15">
        <f t="shared" si="11"/>
        <v>0</v>
      </c>
      <c r="AA29" s="15">
        <f t="shared" si="12"/>
        <v>0</v>
      </c>
      <c r="AB29" s="40"/>
      <c r="AC29" s="10">
        <v>371</v>
      </c>
      <c r="AD29" s="15">
        <f t="shared" si="13"/>
        <v>0</v>
      </c>
      <c r="AE29" s="15">
        <f t="shared" si="14"/>
        <v>0</v>
      </c>
      <c r="AF29" s="20"/>
      <c r="AG29" s="20"/>
      <c r="AH29" s="17"/>
      <c r="AI29" s="17"/>
      <c r="AJ29" s="42">
        <f t="shared" si="17"/>
        <v>21</v>
      </c>
      <c r="AK29" s="64">
        <f>'Disc Fact Paid Loss'!AK29</f>
        <v>1.6843344403173099E-2</v>
      </c>
      <c r="AL29" s="19"/>
      <c r="AM29" s="80">
        <f t="shared" si="15"/>
        <v>21</v>
      </c>
      <c r="AN29" s="369">
        <f>'Disc Fact Paid Loss'!AN29</f>
        <v>47665</v>
      </c>
      <c r="AO29" s="370">
        <f>'Disc Fact Paid Loss'!AO29</f>
        <v>47756</v>
      </c>
      <c r="AP29" s="372">
        <f>'Disc Fact Paid Loss'!AP29</f>
        <v>1.6843344403173099E-2</v>
      </c>
    </row>
    <row r="30" spans="1:42" ht="15" customHeight="1" x14ac:dyDescent="0.2">
      <c r="A30" s="21">
        <v>22</v>
      </c>
      <c r="B30" s="15">
        <f t="shared" si="16"/>
        <v>1.4996762713814362E-2</v>
      </c>
      <c r="C30" s="15">
        <f t="shared" si="0"/>
        <v>1.4996762713814362E-2</v>
      </c>
      <c r="D30" s="40"/>
      <c r="E30" s="21">
        <v>72</v>
      </c>
      <c r="F30" s="15">
        <f t="shared" si="1"/>
        <v>4.3534300105761215E-4</v>
      </c>
      <c r="G30" s="15">
        <f t="shared" si="2"/>
        <v>4.3534300105761215E-4</v>
      </c>
      <c r="H30" s="40"/>
      <c r="I30" s="21">
        <v>122</v>
      </c>
      <c r="J30" s="15">
        <f t="shared" si="3"/>
        <v>1.2280886748306512E-3</v>
      </c>
      <c r="K30" s="15">
        <f t="shared" si="4"/>
        <v>1.2280886748306512E-3</v>
      </c>
      <c r="L30" s="40"/>
      <c r="M30" s="21">
        <v>172</v>
      </c>
      <c r="N30" s="15">
        <f t="shared" si="5"/>
        <v>0</v>
      </c>
      <c r="O30" s="15">
        <f t="shared" si="6"/>
        <v>0</v>
      </c>
      <c r="P30" s="40"/>
      <c r="Q30" s="21">
        <v>222</v>
      </c>
      <c r="R30" s="15">
        <f t="shared" si="7"/>
        <v>0</v>
      </c>
      <c r="S30" s="15">
        <f t="shared" si="8"/>
        <v>0</v>
      </c>
      <c r="T30" s="40"/>
      <c r="U30" s="21">
        <v>272</v>
      </c>
      <c r="V30" s="15">
        <f t="shared" si="9"/>
        <v>0</v>
      </c>
      <c r="W30" s="15">
        <f t="shared" si="10"/>
        <v>0</v>
      </c>
      <c r="X30" s="40"/>
      <c r="Y30" s="21">
        <v>322</v>
      </c>
      <c r="Z30" s="15">
        <f t="shared" si="11"/>
        <v>0</v>
      </c>
      <c r="AA30" s="15">
        <f t="shared" si="12"/>
        <v>0</v>
      </c>
      <c r="AB30" s="40"/>
      <c r="AC30" s="21">
        <v>372</v>
      </c>
      <c r="AD30" s="15">
        <f t="shared" si="13"/>
        <v>0</v>
      </c>
      <c r="AE30" s="15">
        <f t="shared" si="14"/>
        <v>0</v>
      </c>
      <c r="AF30" s="20"/>
      <c r="AG30" s="20"/>
      <c r="AH30" s="17"/>
      <c r="AI30" s="17"/>
      <c r="AJ30" s="42">
        <f t="shared" si="17"/>
        <v>22</v>
      </c>
      <c r="AK30" s="64">
        <f>'Disc Fact Paid Loss'!AK30</f>
        <v>1.4996762713814362E-2</v>
      </c>
      <c r="AL30" s="19"/>
      <c r="AM30" s="80">
        <f t="shared" si="15"/>
        <v>22</v>
      </c>
      <c r="AN30" s="369">
        <f>'Disc Fact Paid Loss'!AN30</f>
        <v>47757</v>
      </c>
      <c r="AO30" s="370">
        <f>'Disc Fact Paid Loss'!AO30</f>
        <v>47848</v>
      </c>
      <c r="AP30" s="372">
        <f>'Disc Fact Paid Loss'!AP30</f>
        <v>1.4996762713814362E-2</v>
      </c>
    </row>
    <row r="31" spans="1:42" ht="15" customHeight="1" x14ac:dyDescent="0.2">
      <c r="A31" s="10">
        <v>23</v>
      </c>
      <c r="B31" s="15">
        <f t="shared" si="16"/>
        <v>1.2453604560867545E-2</v>
      </c>
      <c r="C31" s="15">
        <f t="shared" si="0"/>
        <v>1.2453604560867545E-2</v>
      </c>
      <c r="D31" s="40"/>
      <c r="E31" s="10">
        <v>73</v>
      </c>
      <c r="F31" s="15">
        <f t="shared" si="1"/>
        <v>4.1841023013706162E-4</v>
      </c>
      <c r="G31" s="15">
        <f t="shared" si="2"/>
        <v>4.1841023013706162E-4</v>
      </c>
      <c r="H31" s="40"/>
      <c r="I31" s="10">
        <v>123</v>
      </c>
      <c r="J31" s="15">
        <f t="shared" si="3"/>
        <v>1.2215213557139099E-3</v>
      </c>
      <c r="K31" s="15">
        <f t="shared" si="4"/>
        <v>1.2215213557139099E-3</v>
      </c>
      <c r="L31" s="40"/>
      <c r="M31" s="10">
        <v>173</v>
      </c>
      <c r="N31" s="15">
        <f t="shared" si="5"/>
        <v>0</v>
      </c>
      <c r="O31" s="15">
        <f t="shared" si="6"/>
        <v>0</v>
      </c>
      <c r="P31" s="40"/>
      <c r="Q31" s="10">
        <v>223</v>
      </c>
      <c r="R31" s="15">
        <f t="shared" si="7"/>
        <v>0</v>
      </c>
      <c r="S31" s="15">
        <f t="shared" si="8"/>
        <v>0</v>
      </c>
      <c r="T31" s="40"/>
      <c r="U31" s="10">
        <v>273</v>
      </c>
      <c r="V31" s="15">
        <f t="shared" si="9"/>
        <v>0</v>
      </c>
      <c r="W31" s="15">
        <f t="shared" si="10"/>
        <v>0</v>
      </c>
      <c r="X31" s="40"/>
      <c r="Y31" s="10">
        <v>323</v>
      </c>
      <c r="Z31" s="15">
        <f t="shared" si="11"/>
        <v>0</v>
      </c>
      <c r="AA31" s="15">
        <f t="shared" si="12"/>
        <v>0</v>
      </c>
      <c r="AB31" s="40"/>
      <c r="AC31" s="10">
        <v>373</v>
      </c>
      <c r="AD31" s="15">
        <f t="shared" si="13"/>
        <v>0</v>
      </c>
      <c r="AE31" s="15">
        <f t="shared" si="14"/>
        <v>0</v>
      </c>
      <c r="AF31" s="20"/>
      <c r="AG31" s="20"/>
      <c r="AH31" s="17"/>
      <c r="AI31" s="17"/>
      <c r="AJ31" s="42">
        <f t="shared" si="17"/>
        <v>23</v>
      </c>
      <c r="AK31" s="64">
        <f>'Disc Fact Paid Loss'!AK31</f>
        <v>1.2453604560867545E-2</v>
      </c>
      <c r="AL31" s="19"/>
      <c r="AM31" s="80">
        <f t="shared" si="15"/>
        <v>23</v>
      </c>
      <c r="AN31" s="369">
        <f>'Disc Fact Paid Loss'!AN31</f>
        <v>47849</v>
      </c>
      <c r="AO31" s="370">
        <f>'Disc Fact Paid Loss'!AO31</f>
        <v>47938</v>
      </c>
      <c r="AP31" s="372">
        <f>'Disc Fact Paid Loss'!AP31</f>
        <v>1.2453604560867545E-2</v>
      </c>
    </row>
    <row r="32" spans="1:42" ht="15" customHeight="1" x14ac:dyDescent="0.2">
      <c r="A32" s="21">
        <v>24</v>
      </c>
      <c r="B32" s="15">
        <f t="shared" si="16"/>
        <v>1.0179746134215245E-2</v>
      </c>
      <c r="C32" s="15">
        <f t="shared" si="0"/>
        <v>1.0179746134215245E-2</v>
      </c>
      <c r="D32" s="40"/>
      <c r="E32" s="21">
        <v>74</v>
      </c>
      <c r="F32" s="15">
        <f t="shared" si="1"/>
        <v>3.7761544818917803E-4</v>
      </c>
      <c r="G32" s="15">
        <f t="shared" si="2"/>
        <v>3.7761544818917803E-4</v>
      </c>
      <c r="H32" s="40"/>
      <c r="I32" s="21">
        <v>124</v>
      </c>
      <c r="J32" s="15">
        <f t="shared" si="3"/>
        <v>1.2149540365971685E-3</v>
      </c>
      <c r="K32" s="15">
        <f t="shared" si="4"/>
        <v>1.2149540365971685E-3</v>
      </c>
      <c r="L32" s="40"/>
      <c r="M32" s="21">
        <v>174</v>
      </c>
      <c r="N32" s="15">
        <f t="shared" si="5"/>
        <v>0</v>
      </c>
      <c r="O32" s="15">
        <f t="shared" si="6"/>
        <v>0</v>
      </c>
      <c r="P32" s="40"/>
      <c r="Q32" s="21">
        <v>224</v>
      </c>
      <c r="R32" s="15">
        <f t="shared" si="7"/>
        <v>0</v>
      </c>
      <c r="S32" s="15">
        <f t="shared" si="8"/>
        <v>0</v>
      </c>
      <c r="T32" s="40"/>
      <c r="U32" s="21">
        <v>274</v>
      </c>
      <c r="V32" s="15">
        <f t="shared" si="9"/>
        <v>0</v>
      </c>
      <c r="W32" s="15">
        <f t="shared" si="10"/>
        <v>0</v>
      </c>
      <c r="X32" s="40"/>
      <c r="Y32" s="21">
        <v>324</v>
      </c>
      <c r="Z32" s="15">
        <f t="shared" si="11"/>
        <v>0</v>
      </c>
      <c r="AA32" s="15">
        <f t="shared" si="12"/>
        <v>0</v>
      </c>
      <c r="AB32" s="40"/>
      <c r="AC32" s="21">
        <v>374</v>
      </c>
      <c r="AD32" s="15">
        <f t="shared" si="13"/>
        <v>0</v>
      </c>
      <c r="AE32" s="15">
        <f t="shared" si="14"/>
        <v>0</v>
      </c>
      <c r="AF32" s="20"/>
      <c r="AG32" s="20"/>
      <c r="AH32" s="17"/>
      <c r="AI32" s="17"/>
      <c r="AJ32" s="42">
        <f t="shared" si="17"/>
        <v>24</v>
      </c>
      <c r="AK32" s="64">
        <f>'Disc Fact Paid Loss'!AK32</f>
        <v>1.0179746134215245E-2</v>
      </c>
      <c r="AL32" s="19"/>
      <c r="AM32" s="80">
        <f t="shared" si="15"/>
        <v>24</v>
      </c>
      <c r="AN32" s="369">
        <f>'Disc Fact Paid Loss'!AN32</f>
        <v>47939</v>
      </c>
      <c r="AO32" s="370">
        <f>'Disc Fact Paid Loss'!AO32</f>
        <v>48029</v>
      </c>
      <c r="AP32" s="372">
        <f>'Disc Fact Paid Loss'!AP32</f>
        <v>1.0179746134215245E-2</v>
      </c>
    </row>
    <row r="33" spans="1:42" ht="15" customHeight="1" x14ac:dyDescent="0.2">
      <c r="A33" s="10">
        <v>25</v>
      </c>
      <c r="B33" s="15">
        <f t="shared" si="16"/>
        <v>8.4758487330703555E-3</v>
      </c>
      <c r="C33" s="15">
        <f t="shared" si="0"/>
        <v>8.4758487330703555E-3</v>
      </c>
      <c r="D33" s="40"/>
      <c r="E33" s="10">
        <v>75</v>
      </c>
      <c r="F33" s="15">
        <f t="shared" si="1"/>
        <v>3.2086769907762089E-4</v>
      </c>
      <c r="G33" s="15">
        <f t="shared" si="2"/>
        <v>3.2086769907762089E-4</v>
      </c>
      <c r="H33" s="40"/>
      <c r="I33" s="10">
        <v>125</v>
      </c>
      <c r="J33" s="15">
        <f t="shared" si="3"/>
        <v>1.2215213557139099E-3</v>
      </c>
      <c r="K33" s="15">
        <f t="shared" si="4"/>
        <v>1.2215213557139099E-3</v>
      </c>
      <c r="L33" s="40"/>
      <c r="M33" s="10">
        <v>175</v>
      </c>
      <c r="N33" s="15">
        <f t="shared" si="5"/>
        <v>0</v>
      </c>
      <c r="O33" s="15">
        <f t="shared" si="6"/>
        <v>0</v>
      </c>
      <c r="P33" s="40"/>
      <c r="Q33" s="10">
        <v>225</v>
      </c>
      <c r="R33" s="15">
        <f t="shared" si="7"/>
        <v>0</v>
      </c>
      <c r="S33" s="15">
        <f t="shared" si="8"/>
        <v>0</v>
      </c>
      <c r="T33" s="40"/>
      <c r="U33" s="10">
        <v>275</v>
      </c>
      <c r="V33" s="15">
        <f t="shared" si="9"/>
        <v>0</v>
      </c>
      <c r="W33" s="15">
        <f t="shared" si="10"/>
        <v>0</v>
      </c>
      <c r="X33" s="40"/>
      <c r="Y33" s="10">
        <v>325</v>
      </c>
      <c r="Z33" s="15">
        <f t="shared" si="11"/>
        <v>0</v>
      </c>
      <c r="AA33" s="15">
        <f t="shared" si="12"/>
        <v>0</v>
      </c>
      <c r="AB33" s="40"/>
      <c r="AC33" s="10">
        <v>375</v>
      </c>
      <c r="AD33" s="15">
        <f t="shared" si="13"/>
        <v>0</v>
      </c>
      <c r="AE33" s="15">
        <f t="shared" si="14"/>
        <v>0</v>
      </c>
      <c r="AF33" s="20"/>
      <c r="AG33" s="20"/>
      <c r="AH33" s="17"/>
      <c r="AI33" s="17"/>
      <c r="AJ33" s="42">
        <f t="shared" si="17"/>
        <v>25</v>
      </c>
      <c r="AK33" s="64">
        <f>'Disc Fact Paid Loss'!AK33</f>
        <v>8.4758487330703555E-3</v>
      </c>
      <c r="AL33" s="19"/>
      <c r="AM33" s="80">
        <f>AJ33</f>
        <v>25</v>
      </c>
      <c r="AN33" s="369">
        <f>'Disc Fact Paid Loss'!AN33</f>
        <v>48030</v>
      </c>
      <c r="AO33" s="370">
        <f>'Disc Fact Paid Loss'!AO33</f>
        <v>48121</v>
      </c>
      <c r="AP33" s="372">
        <f>'Disc Fact Paid Loss'!AP33</f>
        <v>8.4758487330703555E-3</v>
      </c>
    </row>
    <row r="34" spans="1:42" ht="15" customHeight="1" x14ac:dyDescent="0.2">
      <c r="A34" s="21">
        <v>26</v>
      </c>
      <c r="B34" s="15">
        <f t="shared" si="16"/>
        <v>7.3860355958274247E-3</v>
      </c>
      <c r="C34" s="15">
        <f t="shared" si="0"/>
        <v>7.3860355958274247E-3</v>
      </c>
      <c r="D34" s="40"/>
      <c r="E34" s="21">
        <v>76</v>
      </c>
      <c r="F34" s="15">
        <f t="shared" si="1"/>
        <v>2.7010394397482609E-4</v>
      </c>
      <c r="G34" s="15">
        <f t="shared" si="2"/>
        <v>2.7010394397482609E-4</v>
      </c>
      <c r="H34" s="40"/>
      <c r="I34" s="21">
        <v>126</v>
      </c>
      <c r="J34" s="15">
        <f t="shared" si="3"/>
        <v>1.2280886748306512E-3</v>
      </c>
      <c r="K34" s="15">
        <f t="shared" si="4"/>
        <v>1.2280886748306512E-3</v>
      </c>
      <c r="L34" s="40"/>
      <c r="M34" s="21">
        <v>176</v>
      </c>
      <c r="N34" s="15">
        <f t="shared" si="5"/>
        <v>0</v>
      </c>
      <c r="O34" s="15">
        <f t="shared" si="6"/>
        <v>0</v>
      </c>
      <c r="P34" s="40"/>
      <c r="Q34" s="21">
        <v>226</v>
      </c>
      <c r="R34" s="15">
        <f t="shared" si="7"/>
        <v>0</v>
      </c>
      <c r="S34" s="15">
        <f t="shared" si="8"/>
        <v>0</v>
      </c>
      <c r="T34" s="40"/>
      <c r="U34" s="21">
        <v>276</v>
      </c>
      <c r="V34" s="15">
        <f t="shared" si="9"/>
        <v>0</v>
      </c>
      <c r="W34" s="15">
        <f t="shared" si="10"/>
        <v>0</v>
      </c>
      <c r="X34" s="40"/>
      <c r="Y34" s="21">
        <v>326</v>
      </c>
      <c r="Z34" s="15">
        <f t="shared" si="11"/>
        <v>0</v>
      </c>
      <c r="AA34" s="15">
        <f t="shared" si="12"/>
        <v>0</v>
      </c>
      <c r="AB34" s="40"/>
      <c r="AC34" s="21">
        <v>376</v>
      </c>
      <c r="AD34" s="15">
        <f t="shared" si="13"/>
        <v>0</v>
      </c>
      <c r="AE34" s="15">
        <f t="shared" si="14"/>
        <v>0</v>
      </c>
      <c r="AF34" s="20"/>
      <c r="AG34" s="20"/>
      <c r="AH34" s="17"/>
      <c r="AI34" s="17"/>
      <c r="AJ34" s="42">
        <f t="shared" si="17"/>
        <v>26</v>
      </c>
      <c r="AK34" s="64">
        <f>'Disc Fact Paid Loss'!AK34</f>
        <v>7.3860355958274247E-3</v>
      </c>
      <c r="AL34" s="19"/>
      <c r="AM34" s="80">
        <f>AM33+4</f>
        <v>29</v>
      </c>
      <c r="AN34" s="369">
        <f>'Disc Fact Paid Loss'!AN34</f>
        <v>48122</v>
      </c>
      <c r="AO34" s="370">
        <f>'Disc Fact Paid Loss'!AO34</f>
        <v>48213</v>
      </c>
      <c r="AP34" s="372">
        <f>'Disc Fact Paid Loss'!AP34</f>
        <v>7.3860355958274247E-3</v>
      </c>
    </row>
    <row r="35" spans="1:42" ht="15" customHeight="1" x14ac:dyDescent="0.2">
      <c r="A35" s="10">
        <v>27</v>
      </c>
      <c r="B35" s="15">
        <f t="shared" si="16"/>
        <v>5.9029631970724068E-3</v>
      </c>
      <c r="C35" s="15">
        <f t="shared" si="0"/>
        <v>5.9029631970724068E-3</v>
      </c>
      <c r="D35" s="40"/>
      <c r="E35" s="10">
        <v>77</v>
      </c>
      <c r="F35" s="15">
        <f t="shared" si="1"/>
        <v>2.6975892175271223E-4</v>
      </c>
      <c r="G35" s="15">
        <f t="shared" si="2"/>
        <v>2.6975892175271223E-4</v>
      </c>
      <c r="H35" s="40"/>
      <c r="I35" s="10">
        <v>127</v>
      </c>
      <c r="J35" s="15">
        <f t="shared" si="3"/>
        <v>1.2215213557139097E-3</v>
      </c>
      <c r="K35" s="15">
        <f t="shared" si="4"/>
        <v>1.2215213557139097E-3</v>
      </c>
      <c r="L35" s="40"/>
      <c r="M35" s="10">
        <v>177</v>
      </c>
      <c r="N35" s="15">
        <f t="shared" si="5"/>
        <v>0</v>
      </c>
      <c r="O35" s="15">
        <f t="shared" si="6"/>
        <v>0</v>
      </c>
      <c r="P35" s="40"/>
      <c r="Q35" s="10">
        <v>227</v>
      </c>
      <c r="R35" s="15">
        <f t="shared" si="7"/>
        <v>0</v>
      </c>
      <c r="S35" s="15">
        <f t="shared" si="8"/>
        <v>0</v>
      </c>
      <c r="T35" s="40"/>
      <c r="U35" s="10">
        <v>277</v>
      </c>
      <c r="V35" s="15">
        <f t="shared" si="9"/>
        <v>0</v>
      </c>
      <c r="W35" s="15">
        <f t="shared" si="10"/>
        <v>0</v>
      </c>
      <c r="X35" s="40"/>
      <c r="Y35" s="10">
        <v>327</v>
      </c>
      <c r="Z35" s="15">
        <f t="shared" si="11"/>
        <v>0</v>
      </c>
      <c r="AA35" s="15">
        <f t="shared" si="12"/>
        <v>0</v>
      </c>
      <c r="AB35" s="40"/>
      <c r="AC35" s="10">
        <v>377</v>
      </c>
      <c r="AD35" s="15">
        <f t="shared" si="13"/>
        <v>0</v>
      </c>
      <c r="AE35" s="15">
        <f t="shared" si="14"/>
        <v>0</v>
      </c>
      <c r="AF35" s="20"/>
      <c r="AG35" s="20"/>
      <c r="AH35" s="17"/>
      <c r="AI35" s="17"/>
      <c r="AJ35" s="42">
        <f t="shared" si="17"/>
        <v>27</v>
      </c>
      <c r="AK35" s="64">
        <f>'Disc Fact Paid Loss'!AK35</f>
        <v>5.9029631970724068E-3</v>
      </c>
      <c r="AL35" s="19"/>
      <c r="AM35" s="80">
        <f t="shared" ref="AM35:AM62" si="19">AM34+4</f>
        <v>33</v>
      </c>
      <c r="AN35" s="369">
        <f>'Disc Fact Paid Loss'!AN35</f>
        <v>48214</v>
      </c>
      <c r="AO35" s="370">
        <f>'Disc Fact Paid Loss'!AO35</f>
        <v>48304</v>
      </c>
      <c r="AP35" s="372">
        <f>'Disc Fact Paid Loss'!AP35</f>
        <v>5.9029631970724068E-3</v>
      </c>
    </row>
    <row r="36" spans="1:42" ht="15" customHeight="1" x14ac:dyDescent="0.2">
      <c r="A36" s="21">
        <v>28</v>
      </c>
      <c r="B36" s="15">
        <f t="shared" si="16"/>
        <v>4.5777309882880689E-3</v>
      </c>
      <c r="C36" s="15">
        <f t="shared" si="0"/>
        <v>4.5777309882880689E-3</v>
      </c>
      <c r="D36" s="40"/>
      <c r="E36" s="21">
        <v>78</v>
      </c>
      <c r="F36" s="15">
        <f t="shared" si="1"/>
        <v>3.0946736212048058E-4</v>
      </c>
      <c r="G36" s="15">
        <f t="shared" si="2"/>
        <v>3.0946736212048058E-4</v>
      </c>
      <c r="H36" s="40"/>
      <c r="I36" s="21">
        <v>128</v>
      </c>
      <c r="J36" s="15">
        <f t="shared" si="3"/>
        <v>1.2149540365971685E-3</v>
      </c>
      <c r="K36" s="15">
        <f t="shared" si="4"/>
        <v>1.2149540365971685E-3</v>
      </c>
      <c r="L36" s="40"/>
      <c r="M36" s="21">
        <v>178</v>
      </c>
      <c r="N36" s="15">
        <f t="shared" si="5"/>
        <v>0</v>
      </c>
      <c r="O36" s="15">
        <f t="shared" si="6"/>
        <v>0</v>
      </c>
      <c r="P36" s="40"/>
      <c r="Q36" s="21">
        <v>228</v>
      </c>
      <c r="R36" s="15">
        <f t="shared" si="7"/>
        <v>0</v>
      </c>
      <c r="S36" s="15">
        <f t="shared" si="8"/>
        <v>0</v>
      </c>
      <c r="T36" s="40"/>
      <c r="U36" s="21">
        <v>278</v>
      </c>
      <c r="V36" s="15">
        <f t="shared" si="9"/>
        <v>0</v>
      </c>
      <c r="W36" s="15">
        <f t="shared" si="10"/>
        <v>0</v>
      </c>
      <c r="X36" s="40"/>
      <c r="Y36" s="21">
        <v>328</v>
      </c>
      <c r="Z36" s="15">
        <f t="shared" si="11"/>
        <v>0</v>
      </c>
      <c r="AA36" s="15">
        <f t="shared" si="12"/>
        <v>0</v>
      </c>
      <c r="AB36" s="40"/>
      <c r="AC36" s="21">
        <v>378</v>
      </c>
      <c r="AD36" s="15">
        <f t="shared" si="13"/>
        <v>0</v>
      </c>
      <c r="AE36" s="15">
        <f t="shared" si="14"/>
        <v>0</v>
      </c>
      <c r="AF36" s="20"/>
      <c r="AG36" s="20"/>
      <c r="AH36" s="17"/>
      <c r="AI36" s="17"/>
      <c r="AJ36" s="42">
        <f t="shared" si="17"/>
        <v>28</v>
      </c>
      <c r="AK36" s="64">
        <f>'Disc Fact Paid Loss'!AK36</f>
        <v>4.5777309882880689E-3</v>
      </c>
      <c r="AL36" s="19"/>
      <c r="AM36" s="80">
        <f t="shared" si="19"/>
        <v>37</v>
      </c>
      <c r="AN36" s="369">
        <f>'Disc Fact Paid Loss'!AN36</f>
        <v>48305</v>
      </c>
      <c r="AO36" s="370">
        <f>'Disc Fact Paid Loss'!AO36</f>
        <v>48395</v>
      </c>
      <c r="AP36" s="372">
        <f>'Disc Fact Paid Loss'!AP36</f>
        <v>4.5777309882880689E-3</v>
      </c>
    </row>
    <row r="37" spans="1:42" ht="15" customHeight="1" x14ac:dyDescent="0.2">
      <c r="A37" s="10">
        <v>29</v>
      </c>
      <c r="B37" s="15">
        <f t="shared" si="16"/>
        <v>3.6893025090772502E-3</v>
      </c>
      <c r="C37" s="15">
        <f t="shared" si="0"/>
        <v>3.6893025090772502E-3</v>
      </c>
      <c r="D37" s="40"/>
      <c r="E37" s="10">
        <v>79</v>
      </c>
      <c r="F37" s="15">
        <f t="shared" si="1"/>
        <v>3.5645551729355097E-4</v>
      </c>
      <c r="G37" s="15">
        <f t="shared" si="2"/>
        <v>3.5645551729355097E-4</v>
      </c>
      <c r="H37" s="40"/>
      <c r="I37" s="10">
        <v>129</v>
      </c>
      <c r="J37" s="15">
        <f t="shared" si="3"/>
        <v>1.2215213557139099E-3</v>
      </c>
      <c r="K37" s="15">
        <f t="shared" si="4"/>
        <v>1.2215213557139099E-3</v>
      </c>
      <c r="L37" s="40"/>
      <c r="M37" s="10">
        <v>179</v>
      </c>
      <c r="N37" s="15">
        <f t="shared" si="5"/>
        <v>0</v>
      </c>
      <c r="O37" s="15">
        <f t="shared" si="6"/>
        <v>0</v>
      </c>
      <c r="P37" s="40"/>
      <c r="Q37" s="10">
        <v>229</v>
      </c>
      <c r="R37" s="15">
        <f t="shared" si="7"/>
        <v>0</v>
      </c>
      <c r="S37" s="15">
        <f t="shared" si="8"/>
        <v>0</v>
      </c>
      <c r="T37" s="40"/>
      <c r="U37" s="10">
        <v>279</v>
      </c>
      <c r="V37" s="15">
        <f t="shared" si="9"/>
        <v>0</v>
      </c>
      <c r="W37" s="15">
        <f t="shared" si="10"/>
        <v>0</v>
      </c>
      <c r="X37" s="40"/>
      <c r="Y37" s="10">
        <v>329</v>
      </c>
      <c r="Z37" s="15">
        <f t="shared" si="11"/>
        <v>0</v>
      </c>
      <c r="AA37" s="15">
        <f t="shared" si="12"/>
        <v>0</v>
      </c>
      <c r="AB37" s="40"/>
      <c r="AC37" s="10">
        <v>379</v>
      </c>
      <c r="AD37" s="15">
        <f t="shared" si="13"/>
        <v>0</v>
      </c>
      <c r="AE37" s="15">
        <f t="shared" si="14"/>
        <v>0</v>
      </c>
      <c r="AF37" s="20"/>
      <c r="AG37" s="20"/>
      <c r="AH37" s="17"/>
      <c r="AI37" s="17"/>
      <c r="AJ37" s="42">
        <f t="shared" si="17"/>
        <v>29</v>
      </c>
      <c r="AK37" s="64">
        <f>'Disc Fact Paid Loss'!AK37</f>
        <v>3.6893025090772502E-3</v>
      </c>
      <c r="AL37" s="19"/>
      <c r="AM37" s="80">
        <f t="shared" si="19"/>
        <v>41</v>
      </c>
      <c r="AN37" s="369">
        <f>'Disc Fact Paid Loss'!AN37</f>
        <v>48396</v>
      </c>
      <c r="AO37" s="370">
        <f>'Disc Fact Paid Loss'!AO37</f>
        <v>48487</v>
      </c>
      <c r="AP37" s="372">
        <f>'Disc Fact Paid Loss'!AP37</f>
        <v>3.6893025090772502E-3</v>
      </c>
    </row>
    <row r="38" spans="1:42" ht="15" customHeight="1" x14ac:dyDescent="0.2">
      <c r="A38" s="21">
        <v>30</v>
      </c>
      <c r="B38" s="15">
        <f t="shared" si="16"/>
        <v>3.2442136322892784E-3</v>
      </c>
      <c r="C38" s="15">
        <f t="shared" si="0"/>
        <v>3.2442136322892784E-3</v>
      </c>
      <c r="D38" s="40"/>
      <c r="E38" s="21">
        <v>80</v>
      </c>
      <c r="F38" s="15">
        <f t="shared" si="1"/>
        <v>3.9812504988566411E-4</v>
      </c>
      <c r="G38" s="15">
        <f t="shared" si="2"/>
        <v>3.9812504988566411E-4</v>
      </c>
      <c r="H38" s="40"/>
      <c r="I38" s="21">
        <v>130</v>
      </c>
      <c r="J38" s="15">
        <f t="shared" si="3"/>
        <v>1.2280886748306512E-3</v>
      </c>
      <c r="K38" s="15">
        <f t="shared" si="4"/>
        <v>1.2280886748306512E-3</v>
      </c>
      <c r="L38" s="40"/>
      <c r="M38" s="21">
        <v>180</v>
      </c>
      <c r="N38" s="15">
        <f t="shared" si="5"/>
        <v>0</v>
      </c>
      <c r="O38" s="15">
        <f t="shared" si="6"/>
        <v>0</v>
      </c>
      <c r="P38" s="40"/>
      <c r="Q38" s="21">
        <v>230</v>
      </c>
      <c r="R38" s="15">
        <f t="shared" si="7"/>
        <v>0</v>
      </c>
      <c r="S38" s="15">
        <f t="shared" si="8"/>
        <v>0</v>
      </c>
      <c r="T38" s="40"/>
      <c r="U38" s="21">
        <v>280</v>
      </c>
      <c r="V38" s="15">
        <f t="shared" si="9"/>
        <v>0</v>
      </c>
      <c r="W38" s="15">
        <f t="shared" si="10"/>
        <v>0</v>
      </c>
      <c r="X38" s="40"/>
      <c r="Y38" s="21">
        <v>330</v>
      </c>
      <c r="Z38" s="15">
        <f t="shared" si="11"/>
        <v>0</v>
      </c>
      <c r="AA38" s="15">
        <f t="shared" si="12"/>
        <v>0</v>
      </c>
      <c r="AB38" s="40"/>
      <c r="AC38" s="21">
        <v>380</v>
      </c>
      <c r="AD38" s="15">
        <f t="shared" si="13"/>
        <v>0</v>
      </c>
      <c r="AE38" s="15">
        <f t="shared" si="14"/>
        <v>0</v>
      </c>
      <c r="AF38" s="20"/>
      <c r="AG38" s="20"/>
      <c r="AH38" s="17"/>
      <c r="AI38" s="17"/>
      <c r="AJ38" s="42">
        <f t="shared" si="17"/>
        <v>30</v>
      </c>
      <c r="AK38" s="64">
        <f>'Disc Fact Paid Loss'!AK38</f>
        <v>3.2442136322892784E-3</v>
      </c>
      <c r="AL38" s="19"/>
      <c r="AM38" s="80">
        <f t="shared" si="19"/>
        <v>45</v>
      </c>
      <c r="AN38" s="369">
        <f>'Disc Fact Paid Loss'!AN38</f>
        <v>48488</v>
      </c>
      <c r="AO38" s="370">
        <f>'Disc Fact Paid Loss'!AO38</f>
        <v>48579</v>
      </c>
      <c r="AP38" s="372">
        <f>'Disc Fact Paid Loss'!AP38</f>
        <v>3.2442136322892784E-3</v>
      </c>
    </row>
    <row r="39" spans="1:42" ht="15" customHeight="1" x14ac:dyDescent="0.2">
      <c r="A39" s="10">
        <v>31</v>
      </c>
      <c r="B39" s="15">
        <f t="shared" si="16"/>
        <v>2.6357402839747275E-3</v>
      </c>
      <c r="C39" s="15">
        <f t="shared" si="0"/>
        <v>2.6357402839747275E-3</v>
      </c>
      <c r="D39" s="40"/>
      <c r="E39" s="10">
        <v>81</v>
      </c>
      <c r="F39" s="15">
        <f t="shared" si="1"/>
        <v>4.4785539388987312E-4</v>
      </c>
      <c r="G39" s="15">
        <f t="shared" si="2"/>
        <v>4.4785539388987312E-4</v>
      </c>
      <c r="H39" s="40"/>
      <c r="I39" s="10">
        <v>131</v>
      </c>
      <c r="J39" s="15">
        <f t="shared" si="3"/>
        <v>1.2215213557139097E-3</v>
      </c>
      <c r="K39" s="15">
        <f t="shared" si="4"/>
        <v>1.2215213557139097E-3</v>
      </c>
      <c r="L39" s="40"/>
      <c r="M39" s="10">
        <v>181</v>
      </c>
      <c r="N39" s="15">
        <f t="shared" si="5"/>
        <v>0</v>
      </c>
      <c r="O39" s="15">
        <f t="shared" si="6"/>
        <v>0</v>
      </c>
      <c r="P39" s="40"/>
      <c r="Q39" s="10">
        <v>231</v>
      </c>
      <c r="R39" s="15">
        <f t="shared" si="7"/>
        <v>0</v>
      </c>
      <c r="S39" s="15">
        <f t="shared" si="8"/>
        <v>0</v>
      </c>
      <c r="T39" s="40"/>
      <c r="U39" s="10">
        <v>281</v>
      </c>
      <c r="V39" s="15">
        <f t="shared" si="9"/>
        <v>0</v>
      </c>
      <c r="W39" s="15">
        <f t="shared" si="10"/>
        <v>0</v>
      </c>
      <c r="X39" s="40"/>
      <c r="Y39" s="10">
        <v>331</v>
      </c>
      <c r="Z39" s="15">
        <f t="shared" si="11"/>
        <v>0</v>
      </c>
      <c r="AA39" s="15">
        <f t="shared" si="12"/>
        <v>0</v>
      </c>
      <c r="AB39" s="40"/>
      <c r="AC39" s="10">
        <v>381</v>
      </c>
      <c r="AD39" s="15">
        <f t="shared" si="13"/>
        <v>0</v>
      </c>
      <c r="AE39" s="15">
        <f t="shared" si="14"/>
        <v>0</v>
      </c>
      <c r="AF39" s="20"/>
      <c r="AG39" s="20"/>
      <c r="AH39" s="17"/>
      <c r="AI39" s="17"/>
      <c r="AJ39" s="42">
        <f t="shared" si="17"/>
        <v>31</v>
      </c>
      <c r="AK39" s="64">
        <f>'Disc Fact Paid Loss'!AK39</f>
        <v>2.6357402839747275E-3</v>
      </c>
      <c r="AL39" s="19"/>
      <c r="AM39" s="80">
        <f t="shared" si="19"/>
        <v>49</v>
      </c>
      <c r="AN39" s="369">
        <f>'Disc Fact Paid Loss'!AN39</f>
        <v>48580</v>
      </c>
      <c r="AO39" s="370">
        <f>'Disc Fact Paid Loss'!AO39</f>
        <v>48669</v>
      </c>
      <c r="AP39" s="372">
        <f>'Disc Fact Paid Loss'!AP39</f>
        <v>2.6357402839747275E-3</v>
      </c>
    </row>
    <row r="40" spans="1:42" ht="15" customHeight="1" x14ac:dyDescent="0.2">
      <c r="A40" s="21">
        <v>32</v>
      </c>
      <c r="B40" s="15">
        <f t="shared" si="16"/>
        <v>2.0919003829820422E-3</v>
      </c>
      <c r="C40" s="15">
        <f t="shared" si="0"/>
        <v>2.0919003829820422E-3</v>
      </c>
      <c r="D40" s="40"/>
      <c r="E40" s="21">
        <v>82</v>
      </c>
      <c r="F40" s="15">
        <f t="shared" si="1"/>
        <v>4.9455330641955456E-4</v>
      </c>
      <c r="G40" s="15">
        <f t="shared" si="2"/>
        <v>4.9455330641955456E-4</v>
      </c>
      <c r="H40" s="40"/>
      <c r="I40" s="21">
        <v>132</v>
      </c>
      <c r="J40" s="15">
        <f t="shared" si="3"/>
        <v>1.2149540365971685E-3</v>
      </c>
      <c r="K40" s="15">
        <f t="shared" si="4"/>
        <v>1.2149540365971685E-3</v>
      </c>
      <c r="L40" s="40"/>
      <c r="M40" s="21">
        <v>182</v>
      </c>
      <c r="N40" s="15">
        <f t="shared" si="5"/>
        <v>0</v>
      </c>
      <c r="O40" s="15">
        <f t="shared" si="6"/>
        <v>0</v>
      </c>
      <c r="P40" s="40"/>
      <c r="Q40" s="21">
        <v>232</v>
      </c>
      <c r="R40" s="15">
        <f t="shared" si="7"/>
        <v>0</v>
      </c>
      <c r="S40" s="15">
        <f t="shared" si="8"/>
        <v>0</v>
      </c>
      <c r="T40" s="40"/>
      <c r="U40" s="21">
        <v>282</v>
      </c>
      <c r="V40" s="15">
        <f t="shared" si="9"/>
        <v>0</v>
      </c>
      <c r="W40" s="15">
        <f t="shared" si="10"/>
        <v>0</v>
      </c>
      <c r="X40" s="40"/>
      <c r="Y40" s="21">
        <v>332</v>
      </c>
      <c r="Z40" s="15">
        <f t="shared" si="11"/>
        <v>0</v>
      </c>
      <c r="AA40" s="15">
        <f t="shared" si="12"/>
        <v>0</v>
      </c>
      <c r="AB40" s="40"/>
      <c r="AC40" s="21">
        <v>382</v>
      </c>
      <c r="AD40" s="15">
        <f t="shared" si="13"/>
        <v>0</v>
      </c>
      <c r="AE40" s="15">
        <f t="shared" si="14"/>
        <v>0</v>
      </c>
      <c r="AF40" s="20"/>
      <c r="AG40" s="20"/>
      <c r="AH40" s="17"/>
      <c r="AI40" s="17"/>
      <c r="AJ40" s="42">
        <f t="shared" si="17"/>
        <v>32</v>
      </c>
      <c r="AK40" s="64">
        <f>'Disc Fact Paid Loss'!AK40</f>
        <v>2.0919003829820422E-3</v>
      </c>
      <c r="AL40" s="19"/>
      <c r="AM40" s="80">
        <f t="shared" si="19"/>
        <v>53</v>
      </c>
      <c r="AN40" s="369">
        <f>'Disc Fact Paid Loss'!AN40</f>
        <v>48670</v>
      </c>
      <c r="AO40" s="370">
        <f>'Disc Fact Paid Loss'!AO40</f>
        <v>48760</v>
      </c>
      <c r="AP40" s="372">
        <f>'Disc Fact Paid Loss'!AP40</f>
        <v>2.0919003829820422E-3</v>
      </c>
    </row>
    <row r="41" spans="1:42" ht="15" customHeight="1" x14ac:dyDescent="0.2">
      <c r="A41" s="10">
        <v>33</v>
      </c>
      <c r="B41" s="15">
        <f t="shared" si="16"/>
        <v>1.8305519665687707E-3</v>
      </c>
      <c r="C41" s="15">
        <f t="shared" si="0"/>
        <v>1.8305519665687707E-3</v>
      </c>
      <c r="D41" s="40"/>
      <c r="E41" s="10">
        <v>83</v>
      </c>
      <c r="F41" s="15">
        <f t="shared" si="1"/>
        <v>5.4822100180414363E-4</v>
      </c>
      <c r="G41" s="15">
        <f t="shared" si="2"/>
        <v>5.4822100180414363E-4</v>
      </c>
      <c r="H41" s="40"/>
      <c r="I41" s="10">
        <v>133</v>
      </c>
      <c r="J41" s="15">
        <f t="shared" si="3"/>
        <v>1.2215213557139099E-3</v>
      </c>
      <c r="K41" s="15">
        <f t="shared" si="4"/>
        <v>1.2215213557139099E-3</v>
      </c>
      <c r="L41" s="40"/>
      <c r="M41" s="10">
        <v>183</v>
      </c>
      <c r="N41" s="15">
        <f t="shared" si="5"/>
        <v>0</v>
      </c>
      <c r="O41" s="15">
        <f t="shared" si="6"/>
        <v>0</v>
      </c>
      <c r="P41" s="40"/>
      <c r="Q41" s="10">
        <v>233</v>
      </c>
      <c r="R41" s="15">
        <f t="shared" si="7"/>
        <v>0</v>
      </c>
      <c r="S41" s="15">
        <f t="shared" si="8"/>
        <v>0</v>
      </c>
      <c r="T41" s="40"/>
      <c r="U41" s="10">
        <v>283</v>
      </c>
      <c r="V41" s="15">
        <f t="shared" si="9"/>
        <v>0</v>
      </c>
      <c r="W41" s="15">
        <f t="shared" si="10"/>
        <v>0</v>
      </c>
      <c r="X41" s="40"/>
      <c r="Y41" s="10">
        <v>333</v>
      </c>
      <c r="Z41" s="15">
        <f t="shared" si="11"/>
        <v>0</v>
      </c>
      <c r="AA41" s="15">
        <f t="shared" si="12"/>
        <v>0</v>
      </c>
      <c r="AB41" s="40"/>
      <c r="AC41" s="10">
        <v>383</v>
      </c>
      <c r="AD41" s="15">
        <f t="shared" si="13"/>
        <v>0</v>
      </c>
      <c r="AE41" s="15">
        <f t="shared" si="14"/>
        <v>0</v>
      </c>
      <c r="AF41" s="20"/>
      <c r="AG41" s="20"/>
      <c r="AH41" s="17"/>
      <c r="AI41" s="17"/>
      <c r="AJ41" s="42">
        <f t="shared" si="17"/>
        <v>33</v>
      </c>
      <c r="AK41" s="64">
        <f>'Disc Fact Paid Loss'!AK41</f>
        <v>1.8305519665687707E-3</v>
      </c>
      <c r="AL41" s="19"/>
      <c r="AM41" s="80">
        <f t="shared" si="19"/>
        <v>57</v>
      </c>
      <c r="AN41" s="369">
        <f>'Disc Fact Paid Loss'!AN41</f>
        <v>48761</v>
      </c>
      <c r="AO41" s="370">
        <f>'Disc Fact Paid Loss'!AO41</f>
        <v>48852</v>
      </c>
      <c r="AP41" s="372">
        <f>'Disc Fact Paid Loss'!AP41</f>
        <v>1.8305519665687707E-3</v>
      </c>
    </row>
    <row r="42" spans="1:42" ht="15" customHeight="1" x14ac:dyDescent="0.2">
      <c r="A42" s="10">
        <v>34</v>
      </c>
      <c r="B42" s="15">
        <f t="shared" si="16"/>
        <v>1.8224879816428037E-3</v>
      </c>
      <c r="C42" s="15">
        <f t="shared" si="0"/>
        <v>1.8224879816428037E-3</v>
      </c>
      <c r="D42" s="40"/>
      <c r="E42" s="10">
        <v>84</v>
      </c>
      <c r="F42" s="15">
        <f t="shared" si="1"/>
        <v>5.9573151436887362E-4</v>
      </c>
      <c r="G42" s="15">
        <f t="shared" si="2"/>
        <v>5.9573151436887362E-4</v>
      </c>
      <c r="H42" s="40"/>
      <c r="I42" s="10">
        <v>134</v>
      </c>
      <c r="J42" s="15">
        <f t="shared" si="3"/>
        <v>1.2280886748306512E-3</v>
      </c>
      <c r="K42" s="15">
        <f t="shared" si="4"/>
        <v>1.2280886748306512E-3</v>
      </c>
      <c r="L42" s="40"/>
      <c r="M42" s="10">
        <v>184</v>
      </c>
      <c r="N42" s="15">
        <f t="shared" si="5"/>
        <v>0</v>
      </c>
      <c r="O42" s="15">
        <f t="shared" si="6"/>
        <v>0</v>
      </c>
      <c r="P42" s="40"/>
      <c r="Q42" s="10">
        <v>234</v>
      </c>
      <c r="R42" s="15">
        <f t="shared" si="7"/>
        <v>0</v>
      </c>
      <c r="S42" s="15">
        <f t="shared" si="8"/>
        <v>0</v>
      </c>
      <c r="T42" s="40"/>
      <c r="U42" s="10">
        <v>284</v>
      </c>
      <c r="V42" s="15">
        <f t="shared" si="9"/>
        <v>0</v>
      </c>
      <c r="W42" s="15">
        <f t="shared" si="10"/>
        <v>0</v>
      </c>
      <c r="X42" s="40"/>
      <c r="Y42" s="10">
        <v>334</v>
      </c>
      <c r="Z42" s="15">
        <f t="shared" si="11"/>
        <v>0</v>
      </c>
      <c r="AA42" s="15">
        <f t="shared" si="12"/>
        <v>0</v>
      </c>
      <c r="AB42" s="40"/>
      <c r="AC42" s="10">
        <v>384</v>
      </c>
      <c r="AD42" s="15">
        <f t="shared" si="13"/>
        <v>0</v>
      </c>
      <c r="AE42" s="15">
        <f t="shared" si="14"/>
        <v>0</v>
      </c>
      <c r="AF42" s="20"/>
      <c r="AG42" s="20"/>
      <c r="AH42" s="17"/>
      <c r="AI42" s="17"/>
      <c r="AJ42" s="42">
        <f t="shared" si="17"/>
        <v>34</v>
      </c>
      <c r="AK42" s="64">
        <f>'Disc Fact Paid Loss'!AK42</f>
        <v>1.8224879816428037E-3</v>
      </c>
      <c r="AL42" s="19"/>
      <c r="AM42" s="80">
        <f t="shared" si="19"/>
        <v>61</v>
      </c>
      <c r="AN42" s="369">
        <f>'Disc Fact Paid Loss'!AN42</f>
        <v>48853</v>
      </c>
      <c r="AO42" s="370">
        <f>'Disc Fact Paid Loss'!AO42</f>
        <v>48944</v>
      </c>
      <c r="AP42" s="372">
        <f>'Disc Fact Paid Loss'!AP42</f>
        <v>1.8224879816428037E-3</v>
      </c>
    </row>
    <row r="43" spans="1:42" ht="15" customHeight="1" x14ac:dyDescent="0.2">
      <c r="A43" s="21">
        <v>35</v>
      </c>
      <c r="B43" s="15">
        <f t="shared" si="16"/>
        <v>1.7899760102690321E-3</v>
      </c>
      <c r="C43" s="15">
        <f t="shared" si="0"/>
        <v>1.7899760102690321E-3</v>
      </c>
      <c r="D43" s="40"/>
      <c r="E43" s="21">
        <v>85</v>
      </c>
      <c r="F43" s="15">
        <f t="shared" si="1"/>
        <v>7.0083425544693097E-4</v>
      </c>
      <c r="G43" s="15">
        <f t="shared" si="2"/>
        <v>7.0083425544693097E-4</v>
      </c>
      <c r="H43" s="40"/>
      <c r="I43" s="21">
        <v>135</v>
      </c>
      <c r="J43" s="15">
        <f t="shared" si="3"/>
        <v>1.2215213557139097E-3</v>
      </c>
      <c r="K43" s="15">
        <f t="shared" si="4"/>
        <v>1.2215213557139097E-3</v>
      </c>
      <c r="L43" s="40"/>
      <c r="M43" s="21">
        <v>185</v>
      </c>
      <c r="N43" s="15">
        <f t="shared" si="5"/>
        <v>0</v>
      </c>
      <c r="O43" s="15">
        <f t="shared" si="6"/>
        <v>0</v>
      </c>
      <c r="P43" s="40"/>
      <c r="Q43" s="21">
        <v>235</v>
      </c>
      <c r="R43" s="15">
        <f t="shared" si="7"/>
        <v>0</v>
      </c>
      <c r="S43" s="15">
        <f t="shared" si="8"/>
        <v>0</v>
      </c>
      <c r="T43" s="40"/>
      <c r="U43" s="21">
        <v>285</v>
      </c>
      <c r="V43" s="15">
        <f t="shared" si="9"/>
        <v>0</v>
      </c>
      <c r="W43" s="15">
        <f t="shared" si="10"/>
        <v>0</v>
      </c>
      <c r="X43" s="40"/>
      <c r="Y43" s="21">
        <v>335</v>
      </c>
      <c r="Z43" s="15">
        <f t="shared" si="11"/>
        <v>0</v>
      </c>
      <c r="AA43" s="15">
        <f t="shared" si="12"/>
        <v>0</v>
      </c>
      <c r="AB43" s="40"/>
      <c r="AC43" s="21">
        <v>385</v>
      </c>
      <c r="AD43" s="15">
        <f t="shared" si="13"/>
        <v>0</v>
      </c>
      <c r="AE43" s="15">
        <f t="shared" si="14"/>
        <v>0</v>
      </c>
      <c r="AF43" s="20"/>
      <c r="AG43" s="20"/>
      <c r="AH43" s="17"/>
      <c r="AI43" s="17"/>
      <c r="AJ43" s="42">
        <f t="shared" si="17"/>
        <v>35</v>
      </c>
      <c r="AK43" s="64">
        <f>'Disc Fact Paid Loss'!AK43</f>
        <v>1.7899760102690321E-3</v>
      </c>
      <c r="AL43" s="19"/>
      <c r="AM43" s="80">
        <f t="shared" si="19"/>
        <v>65</v>
      </c>
      <c r="AN43" s="369">
        <f>'Disc Fact Paid Loss'!AN43</f>
        <v>48945</v>
      </c>
      <c r="AO43" s="370">
        <f>'Disc Fact Paid Loss'!AO43</f>
        <v>49034</v>
      </c>
      <c r="AP43" s="372">
        <f>'Disc Fact Paid Loss'!AP43</f>
        <v>1.7899760102690321E-3</v>
      </c>
    </row>
    <row r="44" spans="1:42" ht="15" customHeight="1" x14ac:dyDescent="0.2">
      <c r="A44" s="10">
        <v>36</v>
      </c>
      <c r="B44" s="15">
        <f t="shared" si="16"/>
        <v>1.7599532738654857E-3</v>
      </c>
      <c r="C44" s="15">
        <f t="shared" si="0"/>
        <v>1.7599532738654857E-3</v>
      </c>
      <c r="D44" s="40"/>
      <c r="E44" s="10">
        <v>86</v>
      </c>
      <c r="F44" s="15">
        <f t="shared" si="1"/>
        <v>8.3558101135292875E-4</v>
      </c>
      <c r="G44" s="15">
        <f t="shared" si="2"/>
        <v>8.3558101135292875E-4</v>
      </c>
      <c r="H44" s="40"/>
      <c r="I44" s="10">
        <v>136</v>
      </c>
      <c r="J44" s="15">
        <f t="shared" si="3"/>
        <v>1.2149540365971685E-3</v>
      </c>
      <c r="K44" s="15">
        <f t="shared" si="4"/>
        <v>1.2149540365971685E-3</v>
      </c>
      <c r="L44" s="40"/>
      <c r="M44" s="10">
        <v>186</v>
      </c>
      <c r="N44" s="15">
        <f t="shared" si="5"/>
        <v>0</v>
      </c>
      <c r="O44" s="15">
        <f t="shared" si="6"/>
        <v>0</v>
      </c>
      <c r="P44" s="40"/>
      <c r="Q44" s="10">
        <v>236</v>
      </c>
      <c r="R44" s="15">
        <f t="shared" si="7"/>
        <v>0</v>
      </c>
      <c r="S44" s="15">
        <f t="shared" si="8"/>
        <v>0</v>
      </c>
      <c r="T44" s="40"/>
      <c r="U44" s="10">
        <v>286</v>
      </c>
      <c r="V44" s="15">
        <f t="shared" si="9"/>
        <v>0</v>
      </c>
      <c r="W44" s="15">
        <f t="shared" si="10"/>
        <v>0</v>
      </c>
      <c r="X44" s="40"/>
      <c r="Y44" s="10">
        <v>336</v>
      </c>
      <c r="Z44" s="15">
        <f t="shared" si="11"/>
        <v>0</v>
      </c>
      <c r="AA44" s="15">
        <f t="shared" si="12"/>
        <v>0</v>
      </c>
      <c r="AB44" s="40"/>
      <c r="AC44" s="10">
        <v>386</v>
      </c>
      <c r="AD44" s="15">
        <f t="shared" si="13"/>
        <v>0</v>
      </c>
      <c r="AE44" s="15">
        <f t="shared" si="14"/>
        <v>0</v>
      </c>
      <c r="AF44" s="20"/>
      <c r="AG44" s="20"/>
      <c r="AH44" s="17"/>
      <c r="AI44" s="17"/>
      <c r="AJ44" s="42">
        <f t="shared" si="17"/>
        <v>36</v>
      </c>
      <c r="AK44" s="64">
        <f>'Disc Fact Paid Loss'!AK44</f>
        <v>1.7599532738654857E-3</v>
      </c>
      <c r="AL44" s="19"/>
      <c r="AM44" s="80">
        <f t="shared" si="19"/>
        <v>69</v>
      </c>
      <c r="AN44" s="369">
        <f>'Disc Fact Paid Loss'!AN44</f>
        <v>49035</v>
      </c>
      <c r="AO44" s="370">
        <f>'Disc Fact Paid Loss'!AO44</f>
        <v>49125</v>
      </c>
      <c r="AP44" s="372">
        <f>'Disc Fact Paid Loss'!AP44</f>
        <v>1.7599532738654857E-3</v>
      </c>
    </row>
    <row r="45" spans="1:42" ht="15" customHeight="1" x14ac:dyDescent="0.2">
      <c r="A45" s="10">
        <v>37</v>
      </c>
      <c r="B45" s="15">
        <f t="shared" si="16"/>
        <v>1.693973977611174E-3</v>
      </c>
      <c r="C45" s="15">
        <f t="shared" si="0"/>
        <v>1.693973977611174E-3</v>
      </c>
      <c r="D45" s="40"/>
      <c r="E45" s="10">
        <v>87</v>
      </c>
      <c r="F45" s="15">
        <f t="shared" si="1"/>
        <v>9.9764490813696906E-4</v>
      </c>
      <c r="G45" s="15">
        <f t="shared" si="2"/>
        <v>9.9764490813696906E-4</v>
      </c>
      <c r="H45" s="40"/>
      <c r="I45" s="10">
        <v>137</v>
      </c>
      <c r="J45" s="15">
        <f t="shared" si="3"/>
        <v>1.2215213557139099E-3</v>
      </c>
      <c r="K45" s="15">
        <f t="shared" si="4"/>
        <v>1.2215213557139099E-3</v>
      </c>
      <c r="L45" s="40"/>
      <c r="M45" s="10">
        <v>187</v>
      </c>
      <c r="N45" s="15">
        <f t="shared" si="5"/>
        <v>0</v>
      </c>
      <c r="O45" s="15">
        <f t="shared" si="6"/>
        <v>0</v>
      </c>
      <c r="P45" s="40"/>
      <c r="Q45" s="10">
        <v>237</v>
      </c>
      <c r="R45" s="15">
        <f t="shared" si="7"/>
        <v>0</v>
      </c>
      <c r="S45" s="15">
        <f t="shared" si="8"/>
        <v>0</v>
      </c>
      <c r="T45" s="40"/>
      <c r="U45" s="10">
        <v>287</v>
      </c>
      <c r="V45" s="15">
        <f t="shared" si="9"/>
        <v>0</v>
      </c>
      <c r="W45" s="15">
        <f t="shared" si="10"/>
        <v>0</v>
      </c>
      <c r="X45" s="40"/>
      <c r="Y45" s="10">
        <v>337</v>
      </c>
      <c r="Z45" s="15">
        <f t="shared" si="11"/>
        <v>0</v>
      </c>
      <c r="AA45" s="15">
        <f t="shared" si="12"/>
        <v>0</v>
      </c>
      <c r="AB45" s="40"/>
      <c r="AC45" s="10">
        <v>387</v>
      </c>
      <c r="AD45" s="15">
        <f t="shared" si="13"/>
        <v>0</v>
      </c>
      <c r="AE45" s="15">
        <f t="shared" si="14"/>
        <v>0</v>
      </c>
      <c r="AF45" s="20"/>
      <c r="AG45" s="20"/>
      <c r="AH45" s="17"/>
      <c r="AI45" s="17"/>
      <c r="AJ45" s="42">
        <f t="shared" si="17"/>
        <v>37</v>
      </c>
      <c r="AK45" s="64">
        <f>'Disc Fact Paid Loss'!AK45</f>
        <v>1.693973977611174E-3</v>
      </c>
      <c r="AL45" s="19"/>
      <c r="AM45" s="80">
        <f t="shared" si="19"/>
        <v>73</v>
      </c>
      <c r="AN45" s="369">
        <f>'Disc Fact Paid Loss'!AN45</f>
        <v>49126</v>
      </c>
      <c r="AO45" s="370">
        <f>'Disc Fact Paid Loss'!AO45</f>
        <v>49217</v>
      </c>
      <c r="AP45" s="372">
        <f>'Disc Fact Paid Loss'!AP45</f>
        <v>1.693973977611174E-3</v>
      </c>
    </row>
    <row r="46" spans="1:42" ht="15" customHeight="1" x14ac:dyDescent="0.2">
      <c r="A46" s="21">
        <v>38</v>
      </c>
      <c r="B46" s="15">
        <f t="shared" si="16"/>
        <v>1.5917100966958595E-3</v>
      </c>
      <c r="C46" s="15">
        <f t="shared" si="0"/>
        <v>1.5917100966958595E-3</v>
      </c>
      <c r="D46" s="40"/>
      <c r="E46" s="21">
        <v>88</v>
      </c>
      <c r="F46" s="15">
        <f t="shared" si="1"/>
        <v>1.1415002024976041E-3</v>
      </c>
      <c r="G46" s="15">
        <f t="shared" si="2"/>
        <v>1.1415002024976041E-3</v>
      </c>
      <c r="H46" s="40"/>
      <c r="I46" s="21">
        <v>138</v>
      </c>
      <c r="J46" s="15">
        <f t="shared" si="3"/>
        <v>1.2280886748306512E-3</v>
      </c>
      <c r="K46" s="15">
        <f t="shared" si="4"/>
        <v>1.2280886748306512E-3</v>
      </c>
      <c r="L46" s="40"/>
      <c r="M46" s="21">
        <v>188</v>
      </c>
      <c r="N46" s="15">
        <f t="shared" si="5"/>
        <v>0</v>
      </c>
      <c r="O46" s="15">
        <f t="shared" si="6"/>
        <v>0</v>
      </c>
      <c r="P46" s="40"/>
      <c r="Q46" s="21">
        <v>238</v>
      </c>
      <c r="R46" s="15">
        <f t="shared" si="7"/>
        <v>0</v>
      </c>
      <c r="S46" s="15">
        <f t="shared" si="8"/>
        <v>0</v>
      </c>
      <c r="T46" s="40"/>
      <c r="U46" s="21">
        <v>288</v>
      </c>
      <c r="V46" s="15">
        <f t="shared" si="9"/>
        <v>0</v>
      </c>
      <c r="W46" s="15">
        <f t="shared" si="10"/>
        <v>0</v>
      </c>
      <c r="X46" s="40"/>
      <c r="Y46" s="21">
        <v>338</v>
      </c>
      <c r="Z46" s="15">
        <f t="shared" si="11"/>
        <v>0</v>
      </c>
      <c r="AA46" s="15">
        <f t="shared" si="12"/>
        <v>0</v>
      </c>
      <c r="AB46" s="40"/>
      <c r="AC46" s="21">
        <v>388</v>
      </c>
      <c r="AD46" s="15">
        <f t="shared" si="13"/>
        <v>0</v>
      </c>
      <c r="AE46" s="15">
        <f t="shared" si="14"/>
        <v>0</v>
      </c>
      <c r="AF46" s="20"/>
      <c r="AG46" s="20"/>
      <c r="AH46" s="17"/>
      <c r="AI46" s="17"/>
      <c r="AJ46" s="42">
        <f t="shared" si="17"/>
        <v>38</v>
      </c>
      <c r="AK46" s="64">
        <f>'Disc Fact Paid Loss'!AK46</f>
        <v>1.5917100966958595E-3</v>
      </c>
      <c r="AL46" s="19"/>
      <c r="AM46" s="80">
        <f t="shared" si="19"/>
        <v>77</v>
      </c>
      <c r="AN46" s="369">
        <f>'Disc Fact Paid Loss'!AN46</f>
        <v>49218</v>
      </c>
      <c r="AO46" s="370">
        <f>'Disc Fact Paid Loss'!AO46</f>
        <v>49309</v>
      </c>
      <c r="AP46" s="372">
        <f>'Disc Fact Paid Loss'!AP46</f>
        <v>1.5917100966958595E-3</v>
      </c>
    </row>
    <row r="47" spans="1:42" ht="15" customHeight="1" x14ac:dyDescent="0.2">
      <c r="A47" s="10">
        <v>39</v>
      </c>
      <c r="B47" s="15">
        <f t="shared" si="16"/>
        <v>1.441595950078258E-3</v>
      </c>
      <c r="C47" s="15">
        <f t="shared" si="0"/>
        <v>1.441595950078258E-3</v>
      </c>
      <c r="D47" s="40"/>
      <c r="E47" s="10">
        <v>89</v>
      </c>
      <c r="F47" s="15">
        <f t="shared" si="1"/>
        <v>1.2215213557139099E-3</v>
      </c>
      <c r="G47" s="15">
        <f t="shared" si="2"/>
        <v>1.2215213557139099E-3</v>
      </c>
      <c r="H47" s="40"/>
      <c r="I47" s="10">
        <v>139</v>
      </c>
      <c r="J47" s="15">
        <f t="shared" si="3"/>
        <v>1.2215213557139099E-3</v>
      </c>
      <c r="K47" s="15">
        <f t="shared" si="4"/>
        <v>1.2215213557139099E-3</v>
      </c>
      <c r="L47" s="40"/>
      <c r="M47" s="10">
        <v>189</v>
      </c>
      <c r="N47" s="15">
        <f t="shared" si="5"/>
        <v>0</v>
      </c>
      <c r="O47" s="15">
        <f t="shared" si="6"/>
        <v>0</v>
      </c>
      <c r="P47" s="40"/>
      <c r="Q47" s="10">
        <v>239</v>
      </c>
      <c r="R47" s="15">
        <f t="shared" si="7"/>
        <v>0</v>
      </c>
      <c r="S47" s="15">
        <f t="shared" si="8"/>
        <v>0</v>
      </c>
      <c r="T47" s="40"/>
      <c r="U47" s="10">
        <v>289</v>
      </c>
      <c r="V47" s="15">
        <f t="shared" si="9"/>
        <v>0</v>
      </c>
      <c r="W47" s="15">
        <f t="shared" si="10"/>
        <v>0</v>
      </c>
      <c r="X47" s="40"/>
      <c r="Y47" s="10">
        <v>339</v>
      </c>
      <c r="Z47" s="15">
        <f t="shared" si="11"/>
        <v>0</v>
      </c>
      <c r="AA47" s="15">
        <f t="shared" si="12"/>
        <v>0</v>
      </c>
      <c r="AB47" s="40"/>
      <c r="AC47" s="10">
        <v>389</v>
      </c>
      <c r="AD47" s="15">
        <f t="shared" si="13"/>
        <v>0</v>
      </c>
      <c r="AE47" s="15">
        <f t="shared" si="14"/>
        <v>0</v>
      </c>
      <c r="AF47" s="20"/>
      <c r="AG47" s="20"/>
      <c r="AH47" s="17"/>
      <c r="AI47" s="17"/>
      <c r="AJ47" s="42">
        <f t="shared" si="17"/>
        <v>39</v>
      </c>
      <c r="AK47" s="64">
        <f>'Disc Fact Paid Loss'!AK47</f>
        <v>1.441595950078258E-3</v>
      </c>
      <c r="AL47" s="19"/>
      <c r="AM47" s="80">
        <f t="shared" si="19"/>
        <v>81</v>
      </c>
      <c r="AN47" s="369">
        <f>'Disc Fact Paid Loss'!AN47</f>
        <v>49310</v>
      </c>
      <c r="AO47" s="370">
        <f>'Disc Fact Paid Loss'!AO47</f>
        <v>49399</v>
      </c>
      <c r="AP47" s="372">
        <f>'Disc Fact Paid Loss'!AP47</f>
        <v>1.441595950078258E-3</v>
      </c>
    </row>
    <row r="48" spans="1:42" ht="15" customHeight="1" x14ac:dyDescent="0.2">
      <c r="A48" s="10">
        <v>40</v>
      </c>
      <c r="B48" s="15">
        <f t="shared" si="16"/>
        <v>1.3069645737793791E-3</v>
      </c>
      <c r="C48" s="15">
        <f t="shared" si="0"/>
        <v>1.3069645737793791E-3</v>
      </c>
      <c r="D48" s="40"/>
      <c r="E48" s="10">
        <v>90</v>
      </c>
      <c r="F48" s="15">
        <f t="shared" si="1"/>
        <v>1.2280886748306512E-3</v>
      </c>
      <c r="G48" s="15">
        <f t="shared" si="2"/>
        <v>1.2280886748306512E-3</v>
      </c>
      <c r="H48" s="40"/>
      <c r="I48" s="10">
        <v>140</v>
      </c>
      <c r="J48" s="15">
        <f t="shared" si="3"/>
        <v>1.2149540365971685E-3</v>
      </c>
      <c r="K48" s="15">
        <f t="shared" si="4"/>
        <v>1.2149540365971685E-3</v>
      </c>
      <c r="L48" s="40"/>
      <c r="M48" s="10">
        <v>190</v>
      </c>
      <c r="N48" s="15">
        <f t="shared" si="5"/>
        <v>0</v>
      </c>
      <c r="O48" s="15">
        <f t="shared" si="6"/>
        <v>0</v>
      </c>
      <c r="P48" s="40"/>
      <c r="Q48" s="10">
        <v>240</v>
      </c>
      <c r="R48" s="15">
        <f t="shared" si="7"/>
        <v>0</v>
      </c>
      <c r="S48" s="15">
        <f t="shared" si="8"/>
        <v>0</v>
      </c>
      <c r="T48" s="40"/>
      <c r="U48" s="10">
        <v>290</v>
      </c>
      <c r="V48" s="15">
        <f t="shared" si="9"/>
        <v>0</v>
      </c>
      <c r="W48" s="15">
        <f t="shared" si="10"/>
        <v>0</v>
      </c>
      <c r="X48" s="40"/>
      <c r="Y48" s="10">
        <v>340</v>
      </c>
      <c r="Z48" s="15">
        <f t="shared" si="11"/>
        <v>0</v>
      </c>
      <c r="AA48" s="15">
        <f t="shared" si="12"/>
        <v>0</v>
      </c>
      <c r="AB48" s="40"/>
      <c r="AC48" s="10">
        <v>390</v>
      </c>
      <c r="AD48" s="15">
        <f t="shared" si="13"/>
        <v>0</v>
      </c>
      <c r="AE48" s="15">
        <f t="shared" si="14"/>
        <v>0</v>
      </c>
      <c r="AF48" s="20"/>
      <c r="AG48" s="20"/>
      <c r="AH48" s="17"/>
      <c r="AI48" s="17"/>
      <c r="AJ48" s="42">
        <f t="shared" si="17"/>
        <v>40</v>
      </c>
      <c r="AK48" s="64">
        <f>'Disc Fact Paid Loss'!AK48</f>
        <v>1.3069645737793791E-3</v>
      </c>
      <c r="AL48" s="19"/>
      <c r="AM48" s="80">
        <f t="shared" si="19"/>
        <v>85</v>
      </c>
      <c r="AN48" s="369">
        <f>'Disc Fact Paid Loss'!AN48</f>
        <v>49400</v>
      </c>
      <c r="AO48" s="370">
        <f>'Disc Fact Paid Loss'!AO48</f>
        <v>49490</v>
      </c>
      <c r="AP48" s="372">
        <f>'Disc Fact Paid Loss'!AP48</f>
        <v>1.3069645737793791E-3</v>
      </c>
    </row>
    <row r="49" spans="1:42" ht="15" customHeight="1" x14ac:dyDescent="0.2">
      <c r="A49" s="21">
        <v>41</v>
      </c>
      <c r="B49" s="15">
        <f t="shared" si="16"/>
        <v>1.2080391317085427E-3</v>
      </c>
      <c r="C49" s="15">
        <f t="shared" si="0"/>
        <v>1.2080391317085427E-3</v>
      </c>
      <c r="D49" s="40"/>
      <c r="E49" s="21">
        <v>91</v>
      </c>
      <c r="F49" s="15">
        <f t="shared" si="1"/>
        <v>1.2215213557139099E-3</v>
      </c>
      <c r="G49" s="15">
        <f t="shared" si="2"/>
        <v>1.2215213557139099E-3</v>
      </c>
      <c r="H49" s="40"/>
      <c r="I49" s="21">
        <v>141</v>
      </c>
      <c r="J49" s="15">
        <f t="shared" si="3"/>
        <v>1.0643128655332445E-3</v>
      </c>
      <c r="K49" s="15">
        <f t="shared" si="4"/>
        <v>1.0643128655332445E-3</v>
      </c>
      <c r="L49" s="40"/>
      <c r="M49" s="21">
        <v>191</v>
      </c>
      <c r="N49" s="15">
        <f t="shared" si="5"/>
        <v>0</v>
      </c>
      <c r="O49" s="15">
        <f t="shared" si="6"/>
        <v>0</v>
      </c>
      <c r="P49" s="40"/>
      <c r="Q49" s="21">
        <v>241</v>
      </c>
      <c r="R49" s="15">
        <f t="shared" si="7"/>
        <v>0</v>
      </c>
      <c r="S49" s="15">
        <f t="shared" si="8"/>
        <v>0</v>
      </c>
      <c r="T49" s="40"/>
      <c r="U49" s="21">
        <v>291</v>
      </c>
      <c r="V49" s="15">
        <f t="shared" si="9"/>
        <v>0</v>
      </c>
      <c r="W49" s="15">
        <f t="shared" si="10"/>
        <v>0</v>
      </c>
      <c r="X49" s="40"/>
      <c r="Y49" s="21">
        <v>341</v>
      </c>
      <c r="Z49" s="15">
        <f t="shared" si="11"/>
        <v>0</v>
      </c>
      <c r="AA49" s="15">
        <f t="shared" si="12"/>
        <v>0</v>
      </c>
      <c r="AB49" s="40"/>
      <c r="AC49" s="21">
        <v>391</v>
      </c>
      <c r="AD49" s="15">
        <f t="shared" si="13"/>
        <v>0</v>
      </c>
      <c r="AE49" s="15">
        <f t="shared" si="14"/>
        <v>0</v>
      </c>
      <c r="AF49" s="20"/>
      <c r="AG49" s="20"/>
      <c r="AH49" s="17"/>
      <c r="AI49" s="17"/>
      <c r="AJ49" s="42">
        <f t="shared" si="17"/>
        <v>41</v>
      </c>
      <c r="AK49" s="64">
        <f>'Disc Fact Paid Loss'!AK49</f>
        <v>1.2080391317085427E-3</v>
      </c>
      <c r="AL49" s="19"/>
      <c r="AM49" s="80">
        <f t="shared" si="19"/>
        <v>89</v>
      </c>
      <c r="AN49" s="369">
        <f>'Disc Fact Paid Loss'!AN49</f>
        <v>49491</v>
      </c>
      <c r="AO49" s="370">
        <f>'Disc Fact Paid Loss'!AO49</f>
        <v>49582</v>
      </c>
      <c r="AP49" s="372">
        <f>'Disc Fact Paid Loss'!AP49</f>
        <v>1.2080391317085427E-3</v>
      </c>
    </row>
    <row r="50" spans="1:42" ht="15" customHeight="1" x14ac:dyDescent="0.2">
      <c r="A50" s="10">
        <v>42</v>
      </c>
      <c r="B50" s="15">
        <f t="shared" si="16"/>
        <v>1.1409728432477551E-3</v>
      </c>
      <c r="C50" s="15">
        <f t="shared" si="0"/>
        <v>1.1409728432477551E-3</v>
      </c>
      <c r="D50" s="40"/>
      <c r="E50" s="10">
        <v>92</v>
      </c>
      <c r="F50" s="15">
        <f t="shared" si="1"/>
        <v>1.2149540365971685E-3</v>
      </c>
      <c r="G50" s="15">
        <f t="shared" si="2"/>
        <v>1.2149540365971685E-3</v>
      </c>
      <c r="H50" s="40"/>
      <c r="I50" s="10">
        <v>142</v>
      </c>
      <c r="J50" s="15">
        <f t="shared" si="3"/>
        <v>8.0230709738254369E-4</v>
      </c>
      <c r="K50" s="15">
        <f t="shared" si="4"/>
        <v>8.0230709738254369E-4</v>
      </c>
      <c r="L50" s="40"/>
      <c r="M50" s="10">
        <v>192</v>
      </c>
      <c r="N50" s="15">
        <f t="shared" si="5"/>
        <v>0</v>
      </c>
      <c r="O50" s="15">
        <f t="shared" si="6"/>
        <v>0</v>
      </c>
      <c r="P50" s="40"/>
      <c r="Q50" s="10">
        <v>242</v>
      </c>
      <c r="R50" s="15">
        <f t="shared" si="7"/>
        <v>0</v>
      </c>
      <c r="S50" s="15">
        <f t="shared" si="8"/>
        <v>0</v>
      </c>
      <c r="T50" s="40"/>
      <c r="U50" s="10">
        <v>292</v>
      </c>
      <c r="V50" s="15">
        <f t="shared" si="9"/>
        <v>0</v>
      </c>
      <c r="W50" s="15">
        <f t="shared" si="10"/>
        <v>0</v>
      </c>
      <c r="X50" s="40"/>
      <c r="Y50" s="10">
        <v>342</v>
      </c>
      <c r="Z50" s="15">
        <f t="shared" si="11"/>
        <v>0</v>
      </c>
      <c r="AA50" s="15">
        <f t="shared" si="12"/>
        <v>0</v>
      </c>
      <c r="AB50" s="40"/>
      <c r="AC50" s="10">
        <v>392</v>
      </c>
      <c r="AD50" s="15">
        <f t="shared" si="13"/>
        <v>0</v>
      </c>
      <c r="AE50" s="15">
        <f t="shared" si="14"/>
        <v>0</v>
      </c>
      <c r="AF50" s="20"/>
      <c r="AG50" s="20"/>
      <c r="AH50" s="17"/>
      <c r="AI50" s="17"/>
      <c r="AJ50" s="42">
        <f t="shared" si="17"/>
        <v>42</v>
      </c>
      <c r="AK50" s="64">
        <f>'Disc Fact Paid Loss'!AK50</f>
        <v>1.1409728432477551E-3</v>
      </c>
      <c r="AL50" s="19"/>
      <c r="AM50" s="80">
        <f t="shared" si="19"/>
        <v>93</v>
      </c>
      <c r="AN50" s="369">
        <f>'Disc Fact Paid Loss'!AN50</f>
        <v>49583</v>
      </c>
      <c r="AO50" s="370">
        <f>'Disc Fact Paid Loss'!AO50</f>
        <v>49674</v>
      </c>
      <c r="AP50" s="372">
        <f>'Disc Fact Paid Loss'!AP50</f>
        <v>1.1409728432477551E-3</v>
      </c>
    </row>
    <row r="51" spans="1:42" ht="15" customHeight="1" x14ac:dyDescent="0.2">
      <c r="A51" s="10">
        <v>43</v>
      </c>
      <c r="B51" s="15">
        <f t="shared" si="16"/>
        <v>1.0413425379490956E-3</v>
      </c>
      <c r="C51" s="15">
        <f t="shared" si="0"/>
        <v>1.0413425379490956E-3</v>
      </c>
      <c r="D51" s="40"/>
      <c r="E51" s="10">
        <v>93</v>
      </c>
      <c r="F51" s="15">
        <f t="shared" si="1"/>
        <v>1.2215213557139099E-3</v>
      </c>
      <c r="G51" s="15">
        <f t="shared" si="2"/>
        <v>1.2215213557139099E-3</v>
      </c>
      <c r="H51" s="40"/>
      <c r="I51" s="10">
        <v>143</v>
      </c>
      <c r="J51" s="15">
        <f t="shared" si="3"/>
        <v>4.5761568382209446E-4</v>
      </c>
      <c r="K51" s="15">
        <f t="shared" si="4"/>
        <v>4.5761568382209446E-4</v>
      </c>
      <c r="L51" s="40"/>
      <c r="M51" s="10">
        <v>193</v>
      </c>
      <c r="N51" s="15">
        <f t="shared" si="5"/>
        <v>0</v>
      </c>
      <c r="O51" s="15">
        <f t="shared" si="6"/>
        <v>0</v>
      </c>
      <c r="P51" s="40"/>
      <c r="Q51" s="10">
        <v>243</v>
      </c>
      <c r="R51" s="15">
        <f t="shared" si="7"/>
        <v>0</v>
      </c>
      <c r="S51" s="15">
        <f t="shared" si="8"/>
        <v>0</v>
      </c>
      <c r="T51" s="40"/>
      <c r="U51" s="10">
        <v>293</v>
      </c>
      <c r="V51" s="15">
        <f t="shared" si="9"/>
        <v>0</v>
      </c>
      <c r="W51" s="15">
        <f t="shared" si="10"/>
        <v>0</v>
      </c>
      <c r="X51" s="40"/>
      <c r="Y51" s="10">
        <v>343</v>
      </c>
      <c r="Z51" s="15">
        <f t="shared" si="11"/>
        <v>0</v>
      </c>
      <c r="AA51" s="15">
        <f t="shared" si="12"/>
        <v>0</v>
      </c>
      <c r="AB51" s="40"/>
      <c r="AC51" s="10">
        <v>393</v>
      </c>
      <c r="AD51" s="15">
        <f t="shared" si="13"/>
        <v>0</v>
      </c>
      <c r="AE51" s="15">
        <f t="shared" si="14"/>
        <v>0</v>
      </c>
      <c r="AF51" s="20"/>
      <c r="AG51" s="20"/>
      <c r="AH51" s="17"/>
      <c r="AI51" s="17"/>
      <c r="AJ51" s="42">
        <f t="shared" si="17"/>
        <v>43</v>
      </c>
      <c r="AK51" s="64">
        <f>'Disc Fact Paid Loss'!AK51</f>
        <v>1.0413425379490956E-3</v>
      </c>
      <c r="AL51" s="19"/>
      <c r="AM51" s="80">
        <f t="shared" si="19"/>
        <v>97</v>
      </c>
      <c r="AN51" s="369">
        <f>'Disc Fact Paid Loss'!AN51</f>
        <v>49675</v>
      </c>
      <c r="AO51" s="370">
        <f>'Disc Fact Paid Loss'!AO51</f>
        <v>49765</v>
      </c>
      <c r="AP51" s="372">
        <f>'Disc Fact Paid Loss'!AP51</f>
        <v>1.0413425379490956E-3</v>
      </c>
    </row>
    <row r="52" spans="1:42" ht="15" customHeight="1" x14ac:dyDescent="0.2">
      <c r="A52" s="21">
        <v>44</v>
      </c>
      <c r="B52" s="15">
        <f t="shared" si="16"/>
        <v>9.51938658062032E-4</v>
      </c>
      <c r="C52" s="15">
        <f t="shared" si="0"/>
        <v>9.51938658062032E-4</v>
      </c>
      <c r="D52" s="40"/>
      <c r="E52" s="21">
        <v>94</v>
      </c>
      <c r="F52" s="15">
        <f t="shared" si="1"/>
        <v>1.2280886748306512E-3</v>
      </c>
      <c r="G52" s="15">
        <f t="shared" si="2"/>
        <v>1.2280886748306512E-3</v>
      </c>
      <c r="H52" s="40"/>
      <c r="I52" s="21">
        <v>144</v>
      </c>
      <c r="J52" s="15">
        <f t="shared" si="3"/>
        <v>1.5014364791220223E-4</v>
      </c>
      <c r="K52" s="15">
        <f t="shared" si="4"/>
        <v>1.5014364791220223E-4</v>
      </c>
      <c r="L52" s="40"/>
      <c r="M52" s="21">
        <v>194</v>
      </c>
      <c r="N52" s="15">
        <f t="shared" si="5"/>
        <v>0</v>
      </c>
      <c r="O52" s="15">
        <f t="shared" si="6"/>
        <v>0</v>
      </c>
      <c r="P52" s="40"/>
      <c r="Q52" s="21">
        <v>244</v>
      </c>
      <c r="R52" s="15">
        <f t="shared" si="7"/>
        <v>0</v>
      </c>
      <c r="S52" s="15">
        <f t="shared" si="8"/>
        <v>0</v>
      </c>
      <c r="T52" s="40"/>
      <c r="U52" s="21">
        <v>294</v>
      </c>
      <c r="V52" s="15">
        <f t="shared" si="9"/>
        <v>0</v>
      </c>
      <c r="W52" s="15">
        <f t="shared" si="10"/>
        <v>0</v>
      </c>
      <c r="X52" s="40"/>
      <c r="Y52" s="21">
        <v>344</v>
      </c>
      <c r="Z52" s="15">
        <f t="shared" si="11"/>
        <v>0</v>
      </c>
      <c r="AA52" s="15">
        <f t="shared" si="12"/>
        <v>0</v>
      </c>
      <c r="AB52" s="40"/>
      <c r="AC52" s="21">
        <v>394</v>
      </c>
      <c r="AD52" s="15">
        <f t="shared" si="13"/>
        <v>0</v>
      </c>
      <c r="AE52" s="15">
        <f t="shared" si="14"/>
        <v>0</v>
      </c>
      <c r="AF52" s="20"/>
      <c r="AG52" s="20"/>
      <c r="AH52" s="17"/>
      <c r="AI52" s="17"/>
      <c r="AJ52" s="42">
        <f t="shared" si="17"/>
        <v>44</v>
      </c>
      <c r="AK52" s="64">
        <f>'Disc Fact Paid Loss'!AK52</f>
        <v>9.51938658062032E-4</v>
      </c>
      <c r="AL52" s="19"/>
      <c r="AM52" s="80">
        <f t="shared" si="19"/>
        <v>101</v>
      </c>
      <c r="AN52" s="369">
        <f>'Disc Fact Paid Loss'!AN52</f>
        <v>49766</v>
      </c>
      <c r="AO52" s="370">
        <f>'Disc Fact Paid Loss'!AO52</f>
        <v>49856</v>
      </c>
      <c r="AP52" s="372">
        <f>'Disc Fact Paid Loss'!AP52</f>
        <v>9.51938658062032E-4</v>
      </c>
    </row>
    <row r="53" spans="1:42" ht="15" customHeight="1" x14ac:dyDescent="0.2">
      <c r="A53" s="10">
        <v>45</v>
      </c>
      <c r="B53" s="15">
        <f t="shared" si="16"/>
        <v>9.1743403033055075E-4</v>
      </c>
      <c r="C53" s="15">
        <f t="shared" si="0"/>
        <v>9.1743403033055075E-4</v>
      </c>
      <c r="D53" s="40"/>
      <c r="E53" s="10">
        <v>95</v>
      </c>
      <c r="F53" s="15">
        <f t="shared" si="1"/>
        <v>1.2215213557139097E-3</v>
      </c>
      <c r="G53" s="15">
        <f t="shared" si="2"/>
        <v>1.2215213557139097E-3</v>
      </c>
      <c r="H53" s="40"/>
      <c r="I53" s="10">
        <v>145</v>
      </c>
      <c r="J53" s="15">
        <f t="shared" si="3"/>
        <v>0</v>
      </c>
      <c r="K53" s="15">
        <f t="shared" si="4"/>
        <v>0</v>
      </c>
      <c r="L53" s="40"/>
      <c r="M53" s="10">
        <v>195</v>
      </c>
      <c r="N53" s="15">
        <f t="shared" si="5"/>
        <v>0</v>
      </c>
      <c r="O53" s="15">
        <f t="shared" si="6"/>
        <v>0</v>
      </c>
      <c r="P53" s="40"/>
      <c r="Q53" s="10">
        <v>245</v>
      </c>
      <c r="R53" s="15">
        <f t="shared" si="7"/>
        <v>0</v>
      </c>
      <c r="S53" s="15">
        <f t="shared" si="8"/>
        <v>0</v>
      </c>
      <c r="T53" s="40"/>
      <c r="U53" s="10">
        <v>295</v>
      </c>
      <c r="V53" s="15">
        <f t="shared" si="9"/>
        <v>0</v>
      </c>
      <c r="W53" s="15">
        <f t="shared" si="10"/>
        <v>0</v>
      </c>
      <c r="X53" s="40"/>
      <c r="Y53" s="10">
        <v>345</v>
      </c>
      <c r="Z53" s="15">
        <f t="shared" si="11"/>
        <v>0</v>
      </c>
      <c r="AA53" s="15">
        <f t="shared" si="12"/>
        <v>0</v>
      </c>
      <c r="AB53" s="40"/>
      <c r="AC53" s="10">
        <v>395</v>
      </c>
      <c r="AD53" s="15">
        <f t="shared" si="13"/>
        <v>0</v>
      </c>
      <c r="AE53" s="15">
        <f t="shared" si="14"/>
        <v>0</v>
      </c>
      <c r="AF53" s="20"/>
      <c r="AG53" s="20"/>
      <c r="AH53" s="17"/>
      <c r="AI53" s="17"/>
      <c r="AJ53" s="42">
        <f t="shared" si="17"/>
        <v>45</v>
      </c>
      <c r="AK53" s="64">
        <f>'Disc Fact Paid Loss'!AK53</f>
        <v>9.1743403033055075E-4</v>
      </c>
      <c r="AL53" s="19"/>
      <c r="AM53" s="80">
        <f t="shared" si="19"/>
        <v>105</v>
      </c>
      <c r="AN53" s="369">
        <f>'Disc Fact Paid Loss'!AN53</f>
        <v>49857</v>
      </c>
      <c r="AO53" s="370">
        <f>'Disc Fact Paid Loss'!AO53</f>
        <v>49948</v>
      </c>
      <c r="AP53" s="372">
        <f>'Disc Fact Paid Loss'!AP53</f>
        <v>9.1743403033055075E-4</v>
      </c>
    </row>
    <row r="54" spans="1:42" ht="15" customHeight="1" x14ac:dyDescent="0.2">
      <c r="A54" s="10">
        <v>46</v>
      </c>
      <c r="B54" s="15">
        <f t="shared" si="16"/>
        <v>9.2547674406447686E-4</v>
      </c>
      <c r="C54" s="15">
        <f t="shared" si="0"/>
        <v>9.2547674406447686E-4</v>
      </c>
      <c r="D54" s="40"/>
      <c r="E54" s="10">
        <v>96</v>
      </c>
      <c r="F54" s="15">
        <f t="shared" si="1"/>
        <v>1.2149540365971685E-3</v>
      </c>
      <c r="G54" s="15">
        <f t="shared" si="2"/>
        <v>1.2149540365971685E-3</v>
      </c>
      <c r="H54" s="40"/>
      <c r="I54" s="10">
        <v>146</v>
      </c>
      <c r="J54" s="15">
        <f t="shared" si="3"/>
        <v>0</v>
      </c>
      <c r="K54" s="15">
        <f t="shared" si="4"/>
        <v>0</v>
      </c>
      <c r="L54" s="40"/>
      <c r="M54" s="10">
        <v>196</v>
      </c>
      <c r="N54" s="15">
        <f t="shared" si="5"/>
        <v>0</v>
      </c>
      <c r="O54" s="15">
        <f t="shared" si="6"/>
        <v>0</v>
      </c>
      <c r="P54" s="40"/>
      <c r="Q54" s="10">
        <v>246</v>
      </c>
      <c r="R54" s="15">
        <f t="shared" si="7"/>
        <v>0</v>
      </c>
      <c r="S54" s="15">
        <f t="shared" si="8"/>
        <v>0</v>
      </c>
      <c r="T54" s="40"/>
      <c r="U54" s="10">
        <v>296</v>
      </c>
      <c r="V54" s="15">
        <f t="shared" si="9"/>
        <v>0</v>
      </c>
      <c r="W54" s="15">
        <f t="shared" si="10"/>
        <v>0</v>
      </c>
      <c r="X54" s="40"/>
      <c r="Y54" s="10">
        <v>346</v>
      </c>
      <c r="Z54" s="15">
        <f t="shared" si="11"/>
        <v>0</v>
      </c>
      <c r="AA54" s="15">
        <f t="shared" si="12"/>
        <v>0</v>
      </c>
      <c r="AB54" s="40"/>
      <c r="AC54" s="10">
        <v>396</v>
      </c>
      <c r="AD54" s="15">
        <f t="shared" si="13"/>
        <v>0</v>
      </c>
      <c r="AE54" s="15">
        <f t="shared" si="14"/>
        <v>0</v>
      </c>
      <c r="AF54" s="20"/>
      <c r="AG54" s="20"/>
      <c r="AH54" s="17"/>
      <c r="AI54" s="17"/>
      <c r="AJ54" s="42">
        <f t="shared" si="17"/>
        <v>46</v>
      </c>
      <c r="AK54" s="64">
        <f>'Disc Fact Paid Loss'!AK54</f>
        <v>9.2547674406447686E-4</v>
      </c>
      <c r="AL54" s="19"/>
      <c r="AM54" s="80">
        <f t="shared" si="19"/>
        <v>109</v>
      </c>
      <c r="AN54" s="369">
        <f>'Disc Fact Paid Loss'!AN54</f>
        <v>49949</v>
      </c>
      <c r="AO54" s="370">
        <f>'Disc Fact Paid Loss'!AO54</f>
        <v>50040</v>
      </c>
      <c r="AP54" s="372">
        <f>'Disc Fact Paid Loss'!AP54</f>
        <v>9.2547674406447686E-4</v>
      </c>
    </row>
    <row r="55" spans="1:42" ht="15" customHeight="1" x14ac:dyDescent="0.2">
      <c r="A55" s="21">
        <v>47</v>
      </c>
      <c r="B55" s="15">
        <f t="shared" si="16"/>
        <v>9.2448220807568376E-4</v>
      </c>
      <c r="C55" s="15">
        <f t="shared" si="0"/>
        <v>9.2448220807568376E-4</v>
      </c>
      <c r="D55" s="40"/>
      <c r="E55" s="21">
        <v>97</v>
      </c>
      <c r="F55" s="15">
        <f t="shared" si="1"/>
        <v>1.2215213557139099E-3</v>
      </c>
      <c r="G55" s="15">
        <f t="shared" si="2"/>
        <v>1.2215213557139099E-3</v>
      </c>
      <c r="H55" s="40"/>
      <c r="I55" s="21">
        <v>147</v>
      </c>
      <c r="J55" s="15">
        <f t="shared" si="3"/>
        <v>0</v>
      </c>
      <c r="K55" s="15">
        <f t="shared" si="4"/>
        <v>0</v>
      </c>
      <c r="L55" s="40"/>
      <c r="M55" s="21">
        <v>197</v>
      </c>
      <c r="N55" s="15">
        <f t="shared" si="5"/>
        <v>0</v>
      </c>
      <c r="O55" s="15">
        <f t="shared" si="6"/>
        <v>0</v>
      </c>
      <c r="P55" s="40"/>
      <c r="Q55" s="21">
        <v>247</v>
      </c>
      <c r="R55" s="15">
        <f t="shared" si="7"/>
        <v>0</v>
      </c>
      <c r="S55" s="15">
        <f t="shared" si="8"/>
        <v>0</v>
      </c>
      <c r="T55" s="40"/>
      <c r="U55" s="21">
        <v>297</v>
      </c>
      <c r="V55" s="15">
        <f t="shared" si="9"/>
        <v>0</v>
      </c>
      <c r="W55" s="15">
        <f t="shared" si="10"/>
        <v>0</v>
      </c>
      <c r="X55" s="40"/>
      <c r="Y55" s="21">
        <v>347</v>
      </c>
      <c r="Z55" s="15">
        <f t="shared" si="11"/>
        <v>0</v>
      </c>
      <c r="AA55" s="15">
        <f t="shared" si="12"/>
        <v>0</v>
      </c>
      <c r="AB55" s="40"/>
      <c r="AC55" s="21">
        <v>397</v>
      </c>
      <c r="AD55" s="15">
        <f t="shared" si="13"/>
        <v>0</v>
      </c>
      <c r="AE55" s="15">
        <f t="shared" si="14"/>
        <v>0</v>
      </c>
      <c r="AF55" s="20"/>
      <c r="AG55" s="20"/>
      <c r="AH55" s="17"/>
      <c r="AI55" s="17"/>
      <c r="AJ55" s="42">
        <f t="shared" si="17"/>
        <v>47</v>
      </c>
      <c r="AK55" s="64">
        <f>'Disc Fact Paid Loss'!AK55</f>
        <v>9.2448220807568376E-4</v>
      </c>
      <c r="AL55" s="19"/>
      <c r="AM55" s="80">
        <f t="shared" si="19"/>
        <v>113</v>
      </c>
      <c r="AN55" s="369">
        <f>'Disc Fact Paid Loss'!AN55</f>
        <v>50041</v>
      </c>
      <c r="AO55" s="370">
        <f>'Disc Fact Paid Loss'!AO55</f>
        <v>50130</v>
      </c>
      <c r="AP55" s="372">
        <f>'Disc Fact Paid Loss'!AP55</f>
        <v>9.2448220807568376E-4</v>
      </c>
    </row>
    <row r="56" spans="1:42" ht="15" customHeight="1" x14ac:dyDescent="0.2">
      <c r="A56" s="10">
        <v>48</v>
      </c>
      <c r="B56" s="15">
        <f t="shared" si="16"/>
        <v>9.2305528374365779E-4</v>
      </c>
      <c r="C56" s="15">
        <f t="shared" si="0"/>
        <v>9.2305528374365779E-4</v>
      </c>
      <c r="D56" s="40"/>
      <c r="E56" s="10">
        <v>98</v>
      </c>
      <c r="F56" s="15">
        <f t="shared" si="1"/>
        <v>1.2280886748306512E-3</v>
      </c>
      <c r="G56" s="15">
        <f t="shared" si="2"/>
        <v>1.2280886748306512E-3</v>
      </c>
      <c r="H56" s="40"/>
      <c r="I56" s="10">
        <v>148</v>
      </c>
      <c r="J56" s="15">
        <f t="shared" si="3"/>
        <v>0</v>
      </c>
      <c r="K56" s="15">
        <f t="shared" si="4"/>
        <v>0</v>
      </c>
      <c r="L56" s="40"/>
      <c r="M56" s="10">
        <v>198</v>
      </c>
      <c r="N56" s="15">
        <f t="shared" si="5"/>
        <v>0</v>
      </c>
      <c r="O56" s="15">
        <f t="shared" si="6"/>
        <v>0</v>
      </c>
      <c r="P56" s="40"/>
      <c r="Q56" s="10">
        <v>248</v>
      </c>
      <c r="R56" s="15">
        <f t="shared" si="7"/>
        <v>0</v>
      </c>
      <c r="S56" s="15">
        <f t="shared" si="8"/>
        <v>0</v>
      </c>
      <c r="T56" s="40"/>
      <c r="U56" s="10">
        <v>298</v>
      </c>
      <c r="V56" s="15">
        <f t="shared" si="9"/>
        <v>0</v>
      </c>
      <c r="W56" s="15">
        <f t="shared" si="10"/>
        <v>0</v>
      </c>
      <c r="X56" s="40"/>
      <c r="Y56" s="10">
        <v>348</v>
      </c>
      <c r="Z56" s="15">
        <f t="shared" si="11"/>
        <v>0</v>
      </c>
      <c r="AA56" s="15">
        <f t="shared" si="12"/>
        <v>0</v>
      </c>
      <c r="AB56" s="40"/>
      <c r="AC56" s="10">
        <v>398</v>
      </c>
      <c r="AD56" s="15">
        <f t="shared" si="13"/>
        <v>0</v>
      </c>
      <c r="AE56" s="15">
        <f t="shared" si="14"/>
        <v>0</v>
      </c>
      <c r="AF56" s="20"/>
      <c r="AG56" s="20"/>
      <c r="AH56" s="17"/>
      <c r="AI56" s="17"/>
      <c r="AJ56" s="42">
        <f t="shared" si="17"/>
        <v>48</v>
      </c>
      <c r="AK56" s="64">
        <f>'Disc Fact Paid Loss'!AK56</f>
        <v>9.2305528374365779E-4</v>
      </c>
      <c r="AL56" s="19"/>
      <c r="AM56" s="80">
        <f t="shared" si="19"/>
        <v>117</v>
      </c>
      <c r="AN56" s="369">
        <f>'Disc Fact Paid Loss'!AN56</f>
        <v>50131</v>
      </c>
      <c r="AO56" s="370">
        <f>'Disc Fact Paid Loss'!AO56</f>
        <v>50221</v>
      </c>
      <c r="AP56" s="372">
        <f>'Disc Fact Paid Loss'!AP56</f>
        <v>9.2305528374365779E-4</v>
      </c>
    </row>
    <row r="57" spans="1:42" ht="15" customHeight="1" x14ac:dyDescent="0.2">
      <c r="A57" s="10">
        <v>49</v>
      </c>
      <c r="B57" s="15">
        <f t="shared" si="16"/>
        <v>9.0722193076812722E-4</v>
      </c>
      <c r="C57" s="15">
        <f t="shared" si="0"/>
        <v>9.0722193076812722E-4</v>
      </c>
      <c r="D57" s="40"/>
      <c r="E57" s="10">
        <v>99</v>
      </c>
      <c r="F57" s="15">
        <f t="shared" si="1"/>
        <v>1.2215213557139097E-3</v>
      </c>
      <c r="G57" s="15">
        <f t="shared" si="2"/>
        <v>1.2215213557139097E-3</v>
      </c>
      <c r="H57" s="40"/>
      <c r="I57" s="10">
        <v>149</v>
      </c>
      <c r="J57" s="15">
        <f t="shared" si="3"/>
        <v>0</v>
      </c>
      <c r="K57" s="15">
        <f t="shared" si="4"/>
        <v>0</v>
      </c>
      <c r="L57" s="40"/>
      <c r="M57" s="10">
        <v>199</v>
      </c>
      <c r="N57" s="15">
        <f t="shared" si="5"/>
        <v>0</v>
      </c>
      <c r="O57" s="15">
        <f t="shared" si="6"/>
        <v>0</v>
      </c>
      <c r="P57" s="40"/>
      <c r="Q57" s="10">
        <v>249</v>
      </c>
      <c r="R57" s="15">
        <f t="shared" si="7"/>
        <v>0</v>
      </c>
      <c r="S57" s="15">
        <f t="shared" si="8"/>
        <v>0</v>
      </c>
      <c r="T57" s="40"/>
      <c r="U57" s="10">
        <v>299</v>
      </c>
      <c r="V57" s="15">
        <f t="shared" si="9"/>
        <v>0</v>
      </c>
      <c r="W57" s="15">
        <f t="shared" si="10"/>
        <v>0</v>
      </c>
      <c r="X57" s="40"/>
      <c r="Y57" s="10">
        <v>349</v>
      </c>
      <c r="Z57" s="15">
        <f t="shared" si="11"/>
        <v>0</v>
      </c>
      <c r="AA57" s="15">
        <f t="shared" si="12"/>
        <v>0</v>
      </c>
      <c r="AB57" s="40"/>
      <c r="AC57" s="10">
        <v>399</v>
      </c>
      <c r="AD57" s="15">
        <f t="shared" si="13"/>
        <v>0</v>
      </c>
      <c r="AE57" s="15">
        <f t="shared" si="14"/>
        <v>0</v>
      </c>
      <c r="AF57" s="20"/>
      <c r="AG57" s="20"/>
      <c r="AH57" s="17"/>
      <c r="AI57" s="17"/>
      <c r="AJ57" s="42">
        <f t="shared" si="17"/>
        <v>49</v>
      </c>
      <c r="AK57" s="64">
        <f>'Disc Fact Paid Loss'!AK57</f>
        <v>9.0722193076812722E-4</v>
      </c>
      <c r="AL57" s="19"/>
      <c r="AM57" s="80">
        <f t="shared" si="19"/>
        <v>121</v>
      </c>
      <c r="AN57" s="369">
        <f>'Disc Fact Paid Loss'!AN57</f>
        <v>50222</v>
      </c>
      <c r="AO57" s="370">
        <f>'Disc Fact Paid Loss'!AO57</f>
        <v>50313</v>
      </c>
      <c r="AP57" s="372">
        <f>'Disc Fact Paid Loss'!AP57</f>
        <v>9.0722193076812722E-4</v>
      </c>
    </row>
    <row r="58" spans="1:42" ht="15" customHeight="1" x14ac:dyDescent="0.2">
      <c r="A58" s="21">
        <v>50</v>
      </c>
      <c r="B58" s="15">
        <f t="shared" si="16"/>
        <v>8.736513726133032E-4</v>
      </c>
      <c r="C58" s="15">
        <f t="shared" si="0"/>
        <v>8.736513726133032E-4</v>
      </c>
      <c r="D58" s="40"/>
      <c r="E58" s="21">
        <v>100</v>
      </c>
      <c r="F58" s="15">
        <f t="shared" si="1"/>
        <v>1.2149540365971685E-3</v>
      </c>
      <c r="G58" s="15">
        <f t="shared" si="2"/>
        <v>1.2149540365971685E-3</v>
      </c>
      <c r="H58" s="40"/>
      <c r="I58" s="21">
        <v>150</v>
      </c>
      <c r="J58" s="15">
        <f t="shared" si="3"/>
        <v>0</v>
      </c>
      <c r="K58" s="15">
        <f t="shared" si="4"/>
        <v>0</v>
      </c>
      <c r="L58" s="40"/>
      <c r="M58" s="21">
        <v>200</v>
      </c>
      <c r="N58" s="15">
        <f t="shared" si="5"/>
        <v>0</v>
      </c>
      <c r="O58" s="15">
        <f t="shared" si="6"/>
        <v>0</v>
      </c>
      <c r="P58" s="40"/>
      <c r="Q58" s="21">
        <v>250</v>
      </c>
      <c r="R58" s="15">
        <f t="shared" si="7"/>
        <v>0</v>
      </c>
      <c r="S58" s="15">
        <f t="shared" si="8"/>
        <v>0</v>
      </c>
      <c r="T58" s="40"/>
      <c r="U58" s="21">
        <v>300</v>
      </c>
      <c r="V58" s="15">
        <f t="shared" si="9"/>
        <v>0</v>
      </c>
      <c r="W58" s="15">
        <f t="shared" si="10"/>
        <v>0</v>
      </c>
      <c r="X58" s="40"/>
      <c r="Y58" s="21">
        <v>350</v>
      </c>
      <c r="Z58" s="15">
        <f t="shared" si="11"/>
        <v>0</v>
      </c>
      <c r="AA58" s="15">
        <f t="shared" si="12"/>
        <v>0</v>
      </c>
      <c r="AB58" s="40"/>
      <c r="AC58" s="21">
        <v>400</v>
      </c>
      <c r="AD58" s="15">
        <f t="shared" si="13"/>
        <v>0</v>
      </c>
      <c r="AE58" s="15">
        <f t="shared" si="14"/>
        <v>0</v>
      </c>
      <c r="AF58" s="20"/>
      <c r="AG58" s="20"/>
      <c r="AH58" s="17"/>
      <c r="AI58" s="17"/>
      <c r="AJ58" s="42">
        <f t="shared" si="17"/>
        <v>50</v>
      </c>
      <c r="AK58" s="64">
        <f>'Disc Fact Paid Loss'!AK58</f>
        <v>8.736513726133032E-4</v>
      </c>
      <c r="AL58" s="19"/>
      <c r="AM58" s="80">
        <f t="shared" si="19"/>
        <v>125</v>
      </c>
      <c r="AN58" s="369">
        <f>'Disc Fact Paid Loss'!AN58</f>
        <v>50314</v>
      </c>
      <c r="AO58" s="370">
        <f>'Disc Fact Paid Loss'!AO58</f>
        <v>50405</v>
      </c>
      <c r="AP58" s="372">
        <f>'Disc Fact Paid Loss'!AP58</f>
        <v>8.736513726133032E-4</v>
      </c>
    </row>
    <row r="59" spans="1:42" ht="15" customHeight="1" x14ac:dyDescent="0.2">
      <c r="A59" s="1"/>
      <c r="B59" s="15"/>
      <c r="C59" s="15"/>
      <c r="D59" s="40"/>
      <c r="E59" s="1"/>
      <c r="F59" s="15"/>
      <c r="G59" s="15"/>
      <c r="H59" s="40"/>
      <c r="I59" s="1"/>
      <c r="J59" s="15"/>
      <c r="K59" s="15"/>
      <c r="L59" s="40"/>
      <c r="M59" s="1"/>
      <c r="N59" s="15"/>
      <c r="O59" s="15"/>
      <c r="P59" s="40"/>
      <c r="Q59" s="1"/>
      <c r="R59" s="15"/>
      <c r="S59" s="15"/>
      <c r="T59" s="40"/>
      <c r="U59" s="1"/>
      <c r="V59" s="15"/>
      <c r="W59" s="15"/>
      <c r="X59" s="40"/>
      <c r="Y59" s="1"/>
      <c r="Z59" s="15"/>
      <c r="AA59" s="15"/>
      <c r="AB59" s="40"/>
      <c r="AC59" s="44" t="s">
        <v>47</v>
      </c>
      <c r="AD59" s="28">
        <f>SUM(B9:B58)+SUM(F9:F58)+SUM(J9:J58)+SUM(N9:N58)+SUM(R9:R58)+SUM(V9:V58)+SUM(Z9:Z58)+SUM(AD9:AD58)</f>
        <v>1.0000000000000002</v>
      </c>
      <c r="AE59" s="28">
        <f>SUM(C9:C58)+SUM(G9:G58)+SUM(K9:K58)+SUM(O9:O58)+SUM(S9:S58)+SUM(W9:W58)+SUM(AA9:AA58)+SUM(AE9:AE58)</f>
        <v>1.0000000000000002</v>
      </c>
      <c r="AF59" s="20"/>
      <c r="AG59" s="20"/>
      <c r="AH59" s="17"/>
      <c r="AI59" s="17"/>
      <c r="AJ59" s="42">
        <f t="shared" si="17"/>
        <v>51</v>
      </c>
      <c r="AK59" s="64">
        <f>'Disc Fact Paid Loss'!AK59</f>
        <v>8.2009484074362766E-4</v>
      </c>
      <c r="AL59" s="19"/>
      <c r="AM59" s="80">
        <f t="shared" si="19"/>
        <v>129</v>
      </c>
      <c r="AN59" s="369">
        <f>'Disc Fact Paid Loss'!AN59</f>
        <v>50406</v>
      </c>
      <c r="AO59" s="370">
        <f>'Disc Fact Paid Loss'!AO59</f>
        <v>50495</v>
      </c>
      <c r="AP59" s="372">
        <f>'Disc Fact Paid Loss'!AP59</f>
        <v>8.2009484074362766E-4</v>
      </c>
    </row>
    <row r="60" spans="1:42" ht="15" customHeight="1" x14ac:dyDescent="0.2">
      <c r="A60" s="1"/>
      <c r="B60" s="15"/>
      <c r="C60" s="15"/>
      <c r="D60" s="40"/>
      <c r="E60" s="1"/>
      <c r="F60" s="15"/>
      <c r="G60" s="15"/>
      <c r="H60" s="40"/>
      <c r="I60" s="1"/>
      <c r="J60" s="15"/>
      <c r="K60" s="15"/>
      <c r="L60" s="40"/>
      <c r="M60" s="1"/>
      <c r="N60" s="15"/>
      <c r="O60" s="15"/>
      <c r="P60" s="40"/>
      <c r="Q60" s="1"/>
      <c r="R60" s="15"/>
      <c r="S60" s="15"/>
      <c r="T60" s="40"/>
      <c r="U60" s="1"/>
      <c r="V60" s="15"/>
      <c r="W60" s="15"/>
      <c r="X60" s="40"/>
      <c r="Y60" s="1"/>
      <c r="Z60" s="15"/>
      <c r="AA60" s="15"/>
      <c r="AB60" s="40"/>
      <c r="AC60" s="1"/>
      <c r="AD60" s="15"/>
      <c r="AE60" s="15"/>
      <c r="AF60" s="20"/>
      <c r="AG60" s="20"/>
      <c r="AH60" s="17"/>
      <c r="AI60" s="17"/>
      <c r="AJ60" s="42">
        <f t="shared" si="17"/>
        <v>52</v>
      </c>
      <c r="AK60" s="64">
        <f>'Disc Fact Paid Loss'!AK60</f>
        <v>7.7188334123106609E-4</v>
      </c>
      <c r="AL60" s="19"/>
      <c r="AM60" s="80">
        <f t="shared" si="19"/>
        <v>133</v>
      </c>
      <c r="AN60" s="369">
        <f>'Disc Fact Paid Loss'!AN60</f>
        <v>50496</v>
      </c>
      <c r="AO60" s="370">
        <f>'Disc Fact Paid Loss'!AO60</f>
        <v>50586</v>
      </c>
      <c r="AP60" s="372">
        <f>'Disc Fact Paid Loss'!AP60</f>
        <v>7.7188334123106609E-4</v>
      </c>
    </row>
    <row r="61" spans="1:42" ht="15" customHeight="1" x14ac:dyDescent="0.2">
      <c r="A61" s="1"/>
      <c r="B61" s="15"/>
      <c r="C61" s="15"/>
      <c r="D61" s="40"/>
      <c r="E61" s="1"/>
      <c r="F61" s="15"/>
      <c r="G61" s="15"/>
      <c r="H61" s="40"/>
      <c r="I61" s="1"/>
      <c r="J61" s="15"/>
      <c r="K61" s="15"/>
      <c r="L61" s="40"/>
      <c r="M61" s="1"/>
      <c r="N61" s="15"/>
      <c r="O61" s="15"/>
      <c r="P61" s="40"/>
      <c r="Q61" s="1"/>
      <c r="R61" s="15"/>
      <c r="S61" s="15"/>
      <c r="T61" s="40"/>
      <c r="U61" s="1"/>
      <c r="V61" s="15"/>
      <c r="W61" s="15"/>
      <c r="X61" s="40"/>
      <c r="Y61" s="1"/>
      <c r="Z61" s="15"/>
      <c r="AA61" s="15"/>
      <c r="AB61" s="40"/>
      <c r="AC61" s="1"/>
      <c r="AD61" s="15"/>
      <c r="AE61" s="15"/>
      <c r="AF61" s="20"/>
      <c r="AG61" s="20"/>
      <c r="AH61" s="17"/>
      <c r="AI61" s="17"/>
      <c r="AJ61" s="42">
        <f t="shared" si="17"/>
        <v>53</v>
      </c>
      <c r="AK61" s="64">
        <f>'Disc Fact Paid Loss'!AK61</f>
        <v>7.4789827997985439E-4</v>
      </c>
      <c r="AL61" s="19"/>
      <c r="AM61" s="80">
        <f t="shared" si="19"/>
        <v>137</v>
      </c>
      <c r="AN61" s="369">
        <f>'Disc Fact Paid Loss'!AN61</f>
        <v>50587</v>
      </c>
      <c r="AO61" s="370">
        <f>'Disc Fact Paid Loss'!AO61</f>
        <v>50678</v>
      </c>
      <c r="AP61" s="372">
        <f>'Disc Fact Paid Loss'!AP61</f>
        <v>7.4789827997985439E-4</v>
      </c>
    </row>
    <row r="62" spans="1:42" ht="15" customHeight="1" x14ac:dyDescent="0.2">
      <c r="A62" s="1"/>
      <c r="B62" s="15"/>
      <c r="C62" s="15"/>
      <c r="D62" s="40"/>
      <c r="E62" s="1"/>
      <c r="F62" s="15"/>
      <c r="G62" s="15"/>
      <c r="H62" s="40"/>
      <c r="I62" s="1"/>
      <c r="J62" s="15"/>
      <c r="K62" s="15"/>
      <c r="L62" s="40"/>
      <c r="M62" s="1"/>
      <c r="N62" s="15"/>
      <c r="O62" s="15"/>
      <c r="P62" s="40"/>
      <c r="Q62" s="1"/>
      <c r="R62" s="15"/>
      <c r="S62" s="15"/>
      <c r="T62" s="40"/>
      <c r="U62" s="1"/>
      <c r="V62" s="15"/>
      <c r="W62" s="15"/>
      <c r="X62" s="40"/>
      <c r="Y62" s="1"/>
      <c r="Z62" s="15"/>
      <c r="AA62" s="15"/>
      <c r="AB62" s="40"/>
      <c r="AC62" s="1"/>
      <c r="AD62" s="15"/>
      <c r="AE62" s="15"/>
      <c r="AF62" s="20"/>
      <c r="AG62" s="20"/>
      <c r="AH62" s="17"/>
      <c r="AI62" s="17"/>
      <c r="AJ62" s="42">
        <f t="shared" si="17"/>
        <v>54</v>
      </c>
      <c r="AK62" s="64">
        <f>'Disc Fact Paid Loss'!AK62</f>
        <v>7.4088560598694502E-4</v>
      </c>
      <c r="AL62" s="19"/>
      <c r="AM62" s="80">
        <f t="shared" si="19"/>
        <v>141</v>
      </c>
      <c r="AN62" s="369">
        <f>'Disc Fact Paid Loss'!AN62</f>
        <v>50679</v>
      </c>
      <c r="AO62" s="370">
        <f>'Disc Fact Paid Loss'!AO62</f>
        <v>50770</v>
      </c>
      <c r="AP62" s="372">
        <f>'Disc Fact Paid Loss'!AP62</f>
        <v>7.4088560598694502E-4</v>
      </c>
    </row>
    <row r="63" spans="1:42" ht="15" customHeight="1" x14ac:dyDescent="0.2">
      <c r="A63" s="1"/>
      <c r="B63" s="15"/>
      <c r="C63" s="15"/>
      <c r="D63" s="40"/>
      <c r="E63" s="1"/>
      <c r="F63" s="15"/>
      <c r="G63" s="15"/>
      <c r="H63" s="40"/>
      <c r="I63" s="1"/>
      <c r="J63" s="15"/>
      <c r="K63" s="15"/>
      <c r="L63" s="40"/>
      <c r="M63" s="1"/>
      <c r="N63" s="15"/>
      <c r="O63" s="15"/>
      <c r="P63" s="40"/>
      <c r="Q63" s="1"/>
      <c r="R63" s="15"/>
      <c r="S63" s="15"/>
      <c r="T63" s="40"/>
      <c r="U63" s="1"/>
      <c r="V63" s="15"/>
      <c r="W63" s="15"/>
      <c r="X63" s="40"/>
      <c r="Y63" s="1"/>
      <c r="Z63" s="15"/>
      <c r="AA63" s="15"/>
      <c r="AB63" s="40"/>
      <c r="AC63" s="1"/>
      <c r="AD63" s="15"/>
      <c r="AE63" s="15"/>
      <c r="AF63" s="20"/>
      <c r="AG63" s="20"/>
      <c r="AH63" s="17"/>
      <c r="AI63" s="17"/>
      <c r="AJ63" s="42">
        <f t="shared" si="17"/>
        <v>55</v>
      </c>
      <c r="AK63" s="64">
        <f>'Disc Fact Paid Loss'!AK63</f>
        <v>7.2289500528959286E-4</v>
      </c>
      <c r="AL63" s="19"/>
      <c r="AM63" s="80"/>
      <c r="AN63" s="369">
        <f>'Disc Fact Paid Loss'!AN63</f>
        <v>50771</v>
      </c>
      <c r="AO63" s="370">
        <f>'Disc Fact Paid Loss'!AO63</f>
        <v>50860</v>
      </c>
      <c r="AP63" s="372">
        <f>'Disc Fact Paid Loss'!AP63</f>
        <v>7.2289500528959286E-4</v>
      </c>
    </row>
    <row r="64" spans="1:42" ht="15" customHeight="1" x14ac:dyDescent="0.2">
      <c r="A64" s="1"/>
      <c r="B64" s="15"/>
      <c r="C64" s="15"/>
      <c r="D64" s="40"/>
      <c r="E64" s="1"/>
      <c r="F64" s="15"/>
      <c r="G64" s="15"/>
      <c r="H64" s="40"/>
      <c r="I64" s="1"/>
      <c r="J64" s="15"/>
      <c r="K64" s="15"/>
      <c r="L64" s="40"/>
      <c r="M64" s="1"/>
      <c r="N64" s="15"/>
      <c r="O64" s="15"/>
      <c r="P64" s="40"/>
      <c r="Q64" s="1"/>
      <c r="R64" s="15"/>
      <c r="S64" s="15"/>
      <c r="T64" s="40"/>
      <c r="U64" s="1"/>
      <c r="V64" s="15"/>
      <c r="W64" s="15"/>
      <c r="X64" s="40"/>
      <c r="Y64" s="1"/>
      <c r="Z64" s="15"/>
      <c r="AA64" s="15"/>
      <c r="AB64" s="40"/>
      <c r="AC64" s="1"/>
      <c r="AD64" s="15"/>
      <c r="AE64" s="15"/>
      <c r="AF64" s="20"/>
      <c r="AG64" s="20"/>
      <c r="AH64" s="17"/>
      <c r="AI64" s="17"/>
      <c r="AJ64" s="42">
        <f t="shared" si="17"/>
        <v>56</v>
      </c>
      <c r="AK64" s="64">
        <f>'Disc Fact Paid Loss'!AK64</f>
        <v>7.0643829390514739E-4</v>
      </c>
      <c r="AL64" s="19"/>
      <c r="AM64" s="17"/>
      <c r="AN64" s="369">
        <f>'Disc Fact Paid Loss'!AN64</f>
        <v>50861</v>
      </c>
      <c r="AO64" s="370">
        <f>'Disc Fact Paid Loss'!AO64</f>
        <v>50951</v>
      </c>
      <c r="AP64" s="372">
        <f>'Disc Fact Paid Loss'!AP64</f>
        <v>7.0643829390514739E-4</v>
      </c>
    </row>
    <row r="65" spans="36:42" ht="15" customHeight="1" x14ac:dyDescent="0.2">
      <c r="AJ65" s="42">
        <f t="shared" si="17"/>
        <v>57</v>
      </c>
      <c r="AK65" s="64">
        <f>'Disc Fact Paid Loss'!AK65</f>
        <v>7.1096805972252974E-4</v>
      </c>
      <c r="AL65" s="19"/>
      <c r="AM65" s="17"/>
      <c r="AN65" s="369">
        <f>'Disc Fact Paid Loss'!AN65</f>
        <v>50952</v>
      </c>
      <c r="AO65" s="370">
        <f>'Disc Fact Paid Loss'!AO65</f>
        <v>51043</v>
      </c>
      <c r="AP65" s="372">
        <f>'Disc Fact Paid Loss'!AP65</f>
        <v>7.1096805972252974E-4</v>
      </c>
    </row>
    <row r="66" spans="36:42" ht="15" customHeight="1" x14ac:dyDescent="0.2">
      <c r="AJ66" s="42">
        <f t="shared" si="17"/>
        <v>58</v>
      </c>
      <c r="AK66" s="64">
        <f>'Disc Fact Paid Loss'!AK66</f>
        <v>7.2659636677600847E-4</v>
      </c>
      <c r="AL66" s="19"/>
      <c r="AM66" s="17"/>
      <c r="AN66" s="369">
        <f>'Disc Fact Paid Loss'!AN66</f>
        <v>51044</v>
      </c>
      <c r="AO66" s="370">
        <f>'Disc Fact Paid Loss'!AO66</f>
        <v>51135</v>
      </c>
      <c r="AP66" s="372">
        <f>'Disc Fact Paid Loss'!AP66</f>
        <v>7.2659636677600847E-4</v>
      </c>
    </row>
    <row r="67" spans="36:42" ht="15" customHeight="1" x14ac:dyDescent="0.2">
      <c r="AJ67" s="42">
        <f t="shared" si="17"/>
        <v>59</v>
      </c>
      <c r="AK67" s="64">
        <f>'Disc Fact Paid Loss'!AK67</f>
        <v>7.3772136279402962E-4</v>
      </c>
      <c r="AL67" s="19"/>
      <c r="AM67" s="17"/>
      <c r="AN67" s="369">
        <f>'Disc Fact Paid Loss'!AN67</f>
        <v>51136</v>
      </c>
      <c r="AO67" s="370">
        <f>'Disc Fact Paid Loss'!AO67</f>
        <v>51226</v>
      </c>
      <c r="AP67" s="372">
        <f>'Disc Fact Paid Loss'!AP67</f>
        <v>7.3772136279402962E-4</v>
      </c>
    </row>
    <row r="68" spans="36:42" ht="15" customHeight="1" x14ac:dyDescent="0.2">
      <c r="AJ68" s="42">
        <f t="shared" si="17"/>
        <v>60</v>
      </c>
      <c r="AK68" s="64">
        <f>'Disc Fact Paid Loss'!AK68</f>
        <v>7.4720510956871405E-4</v>
      </c>
      <c r="AL68" s="19"/>
      <c r="AM68" s="17"/>
      <c r="AN68" s="369">
        <f>'Disc Fact Paid Loss'!AN68</f>
        <v>51227</v>
      </c>
      <c r="AO68" s="370">
        <f>'Disc Fact Paid Loss'!AO68</f>
        <v>51317</v>
      </c>
      <c r="AP68" s="372">
        <f>'Disc Fact Paid Loss'!AP68</f>
        <v>7.4720510956871405E-4</v>
      </c>
    </row>
    <row r="69" spans="36:42" ht="15" customHeight="1" x14ac:dyDescent="0.2">
      <c r="AJ69" s="42">
        <f t="shared" si="17"/>
        <v>61</v>
      </c>
      <c r="AK69" s="64">
        <f>'Disc Fact Paid Loss'!AK69</f>
        <v>6.9799351574315483E-4</v>
      </c>
      <c r="AL69" s="19"/>
      <c r="AM69" s="17"/>
      <c r="AN69" s="369">
        <f>'Disc Fact Paid Loss'!AN69</f>
        <v>51318</v>
      </c>
      <c r="AO69" s="370">
        <f>'Disc Fact Paid Loss'!AO69</f>
        <v>51409</v>
      </c>
      <c r="AP69" s="372">
        <f>'Disc Fact Paid Loss'!AP69</f>
        <v>6.9799351574315483E-4</v>
      </c>
    </row>
    <row r="70" spans="36:42" ht="15" customHeight="1" x14ac:dyDescent="0.2">
      <c r="AJ70" s="42">
        <f t="shared" si="17"/>
        <v>62</v>
      </c>
      <c r="AK70" s="64">
        <f>'Disc Fact Paid Loss'!AK70</f>
        <v>5.9972358484955619E-4</v>
      </c>
      <c r="AL70" s="19"/>
      <c r="AM70" s="17"/>
      <c r="AN70" s="369">
        <f>'Disc Fact Paid Loss'!AN70</f>
        <v>51410</v>
      </c>
      <c r="AO70" s="370">
        <f>'Disc Fact Paid Loss'!AO70</f>
        <v>51501</v>
      </c>
      <c r="AP70" s="372">
        <f>'Disc Fact Paid Loss'!AP70</f>
        <v>5.9972358484955619E-4</v>
      </c>
    </row>
    <row r="71" spans="36:42" ht="15" customHeight="1" x14ac:dyDescent="0.2">
      <c r="AJ71" s="42">
        <f t="shared" si="17"/>
        <v>63</v>
      </c>
      <c r="AK71" s="64">
        <f>'Disc Fact Paid Loss'!AK71</f>
        <v>4.6680050651691686E-4</v>
      </c>
      <c r="AL71" s="19"/>
      <c r="AM71" s="17"/>
      <c r="AN71" s="369">
        <f>'Disc Fact Paid Loss'!AN71</f>
        <v>51502</v>
      </c>
      <c r="AO71" s="370">
        <f>'Disc Fact Paid Loss'!AO71</f>
        <v>51591</v>
      </c>
      <c r="AP71" s="372">
        <f>'Disc Fact Paid Loss'!AP71</f>
        <v>4.6680050651691686E-4</v>
      </c>
    </row>
    <row r="72" spans="36:42" ht="15" customHeight="1" x14ac:dyDescent="0.2">
      <c r="AJ72" s="42">
        <f t="shared" si="17"/>
        <v>64</v>
      </c>
      <c r="AK72" s="64">
        <f>'Disc Fact Paid Loss'!AK72</f>
        <v>3.4806054981390271E-4</v>
      </c>
      <c r="AL72" s="19"/>
      <c r="AM72" s="17"/>
      <c r="AN72" s="369">
        <f>'Disc Fact Paid Loss'!AN72</f>
        <v>51592</v>
      </c>
      <c r="AO72" s="370">
        <f>'Disc Fact Paid Loss'!AO72</f>
        <v>51682</v>
      </c>
      <c r="AP72" s="372">
        <f>'Disc Fact Paid Loss'!AP72</f>
        <v>3.4806054981390271E-4</v>
      </c>
    </row>
    <row r="73" spans="36:42" ht="15" customHeight="1" x14ac:dyDescent="0.2">
      <c r="AJ73" s="42">
        <f t="shared" si="17"/>
        <v>65</v>
      </c>
      <c r="AK73" s="64">
        <f>'Disc Fact Paid Loss'!AK73</f>
        <v>3.0564820222715342E-4</v>
      </c>
      <c r="AL73" s="19"/>
      <c r="AM73" s="17"/>
      <c r="AN73" s="369">
        <f>'Disc Fact Paid Loss'!AN73</f>
        <v>51683</v>
      </c>
      <c r="AO73" s="370">
        <f>'Disc Fact Paid Loss'!AO73</f>
        <v>51774</v>
      </c>
      <c r="AP73" s="372">
        <f>'Disc Fact Paid Loss'!AP73</f>
        <v>3.0564820222715342E-4</v>
      </c>
    </row>
    <row r="74" spans="36:42" ht="15" customHeight="1" x14ac:dyDescent="0.2">
      <c r="AJ74" s="42">
        <f t="shared" ref="AJ74:AJ137" si="20">AJ73+1</f>
        <v>66</v>
      </c>
      <c r="AK74" s="64">
        <f>'Disc Fact Paid Loss'!AK74</f>
        <v>3.2982314197849171E-4</v>
      </c>
      <c r="AL74" s="19"/>
      <c r="AM74" s="17"/>
      <c r="AN74" s="369">
        <f>'Disc Fact Paid Loss'!AN74</f>
        <v>51775</v>
      </c>
      <c r="AO74" s="370">
        <f>'Disc Fact Paid Loss'!AO74</f>
        <v>51866</v>
      </c>
      <c r="AP74" s="372">
        <f>'Disc Fact Paid Loss'!AP74</f>
        <v>3.2982314197849171E-4</v>
      </c>
    </row>
    <row r="75" spans="36:42" ht="15" customHeight="1" x14ac:dyDescent="0.2">
      <c r="AJ75" s="42">
        <f t="shared" si="20"/>
        <v>67</v>
      </c>
      <c r="AK75" s="64">
        <f>'Disc Fact Paid Loss'!AK75</f>
        <v>3.5670713780926454E-4</v>
      </c>
      <c r="AL75" s="19"/>
      <c r="AM75" s="17"/>
      <c r="AN75" s="369">
        <f>'Disc Fact Paid Loss'!AN75</f>
        <v>51867</v>
      </c>
      <c r="AO75" s="370">
        <f>'Disc Fact Paid Loss'!AO75</f>
        <v>51956</v>
      </c>
      <c r="AP75" s="372">
        <f>'Disc Fact Paid Loss'!AP75</f>
        <v>3.5670713780926454E-4</v>
      </c>
    </row>
    <row r="76" spans="36:42" ht="15" customHeight="1" x14ac:dyDescent="0.2">
      <c r="AJ76" s="42">
        <f t="shared" si="20"/>
        <v>68</v>
      </c>
      <c r="AK76" s="64">
        <f>'Disc Fact Paid Loss'!AK76</f>
        <v>3.8045879371304751E-4</v>
      </c>
      <c r="AL76" s="19"/>
      <c r="AM76" s="17"/>
      <c r="AN76" s="369">
        <f>'Disc Fact Paid Loss'!AN76</f>
        <v>51957</v>
      </c>
      <c r="AO76" s="370">
        <f>'Disc Fact Paid Loss'!AO76</f>
        <v>52047</v>
      </c>
      <c r="AP76" s="372">
        <f>'Disc Fact Paid Loss'!AP76</f>
        <v>3.8045879371304751E-4</v>
      </c>
    </row>
    <row r="77" spans="36:42" ht="15" customHeight="1" x14ac:dyDescent="0.2">
      <c r="AJ77" s="42">
        <f t="shared" si="20"/>
        <v>69</v>
      </c>
      <c r="AK77" s="64">
        <f>'Disc Fact Paid Loss'!AK77</f>
        <v>4.0145707944189054E-4</v>
      </c>
      <c r="AL77" s="19"/>
      <c r="AM77" s="17"/>
      <c r="AN77" s="369">
        <f>'Disc Fact Paid Loss'!AN77</f>
        <v>52048</v>
      </c>
      <c r="AO77" s="370">
        <f>'Disc Fact Paid Loss'!AO77</f>
        <v>52139</v>
      </c>
      <c r="AP77" s="372">
        <f>'Disc Fact Paid Loss'!AP77</f>
        <v>4.0145707944189054E-4</v>
      </c>
    </row>
    <row r="78" spans="36:42" ht="15" customHeight="1" x14ac:dyDescent="0.2">
      <c r="AJ78" s="42">
        <f t="shared" si="20"/>
        <v>70</v>
      </c>
      <c r="AK78" s="64">
        <f>'Disc Fact Paid Loss'!AK78</f>
        <v>4.1423804196830246E-4</v>
      </c>
      <c r="AL78" s="19"/>
      <c r="AM78" s="17"/>
      <c r="AN78" s="369">
        <f>'Disc Fact Paid Loss'!AN78</f>
        <v>52140</v>
      </c>
      <c r="AO78" s="370">
        <f>'Disc Fact Paid Loss'!AO78</f>
        <v>52231</v>
      </c>
      <c r="AP78" s="372">
        <f>'Disc Fact Paid Loss'!AP78</f>
        <v>4.1423804196830246E-4</v>
      </c>
    </row>
    <row r="79" spans="36:42" ht="15" customHeight="1" x14ac:dyDescent="0.2">
      <c r="AJ79" s="42">
        <f t="shared" si="20"/>
        <v>71</v>
      </c>
      <c r="AK79" s="64">
        <f>'Disc Fact Paid Loss'!AK79</f>
        <v>4.2552889480165681E-4</v>
      </c>
      <c r="AL79" s="19"/>
      <c r="AM79" s="17"/>
      <c r="AN79" s="369">
        <f>'Disc Fact Paid Loss'!AN79</f>
        <v>52232</v>
      </c>
      <c r="AO79" s="370">
        <f>'Disc Fact Paid Loss'!AO79</f>
        <v>52321</v>
      </c>
      <c r="AP79" s="372">
        <f>'Disc Fact Paid Loss'!AP79</f>
        <v>4.2552889480165681E-4</v>
      </c>
    </row>
    <row r="80" spans="36:42" ht="15" customHeight="1" x14ac:dyDescent="0.2">
      <c r="AJ80" s="42">
        <f t="shared" si="20"/>
        <v>72</v>
      </c>
      <c r="AK80" s="64">
        <f>'Disc Fact Paid Loss'!AK80</f>
        <v>4.3534300105761215E-4</v>
      </c>
      <c r="AL80" s="19"/>
      <c r="AM80" s="17"/>
      <c r="AN80" s="369">
        <f>'Disc Fact Paid Loss'!AN80</f>
        <v>52322</v>
      </c>
      <c r="AO80" s="370">
        <f>'Disc Fact Paid Loss'!AO80</f>
        <v>52412</v>
      </c>
      <c r="AP80" s="372">
        <f>'Disc Fact Paid Loss'!AP80</f>
        <v>4.3534300105761215E-4</v>
      </c>
    </row>
    <row r="81" spans="36:42" ht="15" customHeight="1" x14ac:dyDescent="0.2">
      <c r="AJ81" s="42">
        <f t="shared" si="20"/>
        <v>73</v>
      </c>
      <c r="AK81" s="64">
        <f>'Disc Fact Paid Loss'!AK81</f>
        <v>4.1841023013706162E-4</v>
      </c>
      <c r="AL81" s="19"/>
      <c r="AM81" s="17"/>
      <c r="AN81" s="369">
        <f>'Disc Fact Paid Loss'!AN81</f>
        <v>52413</v>
      </c>
      <c r="AO81" s="370">
        <f>'Disc Fact Paid Loss'!AO81</f>
        <v>52504</v>
      </c>
      <c r="AP81" s="372">
        <f>'Disc Fact Paid Loss'!AP81</f>
        <v>4.1841023013706162E-4</v>
      </c>
    </row>
    <row r="82" spans="36:42" ht="15" customHeight="1" x14ac:dyDescent="0.2">
      <c r="AJ82" s="42">
        <f t="shared" si="20"/>
        <v>74</v>
      </c>
      <c r="AK82" s="64">
        <f>'Disc Fact Paid Loss'!AK82</f>
        <v>3.7761544818917803E-4</v>
      </c>
      <c r="AL82" s="19"/>
      <c r="AM82" s="17"/>
      <c r="AN82" s="369">
        <f>'Disc Fact Paid Loss'!AN82</f>
        <v>52505</v>
      </c>
      <c r="AO82" s="370">
        <f>'Disc Fact Paid Loss'!AO82</f>
        <v>52596</v>
      </c>
      <c r="AP82" s="372">
        <f>'Disc Fact Paid Loss'!AP82</f>
        <v>3.7761544818917803E-4</v>
      </c>
    </row>
    <row r="83" spans="36:42" ht="15" customHeight="1" x14ac:dyDescent="0.2">
      <c r="AJ83" s="42">
        <f t="shared" si="20"/>
        <v>75</v>
      </c>
      <c r="AK83" s="64">
        <f>'Disc Fact Paid Loss'!AK83</f>
        <v>3.2086769907762089E-4</v>
      </c>
      <c r="AL83" s="19"/>
      <c r="AM83" s="17"/>
      <c r="AN83" s="369">
        <f>'Disc Fact Paid Loss'!AN83</f>
        <v>52597</v>
      </c>
      <c r="AO83" s="370">
        <f>'Disc Fact Paid Loss'!AO83</f>
        <v>52687</v>
      </c>
      <c r="AP83" s="372">
        <f>'Disc Fact Paid Loss'!AP83</f>
        <v>3.2086769907762089E-4</v>
      </c>
    </row>
    <row r="84" spans="36:42" ht="15" customHeight="1" x14ac:dyDescent="0.2">
      <c r="AJ84" s="42">
        <f t="shared" si="20"/>
        <v>76</v>
      </c>
      <c r="AK84" s="64">
        <f>'Disc Fact Paid Loss'!AK84</f>
        <v>2.7010394397482609E-4</v>
      </c>
      <c r="AL84" s="19"/>
      <c r="AM84" s="17"/>
      <c r="AN84" s="369">
        <f>'Disc Fact Paid Loss'!AN84</f>
        <v>52688</v>
      </c>
      <c r="AO84" s="370">
        <f>'Disc Fact Paid Loss'!AO84</f>
        <v>52778</v>
      </c>
      <c r="AP84" s="372">
        <f>'Disc Fact Paid Loss'!AP84</f>
        <v>2.7010394397482609E-4</v>
      </c>
    </row>
    <row r="85" spans="36:42" ht="15" customHeight="1" x14ac:dyDescent="0.2">
      <c r="AJ85" s="42">
        <f t="shared" si="20"/>
        <v>77</v>
      </c>
      <c r="AK85" s="64">
        <f>'Disc Fact Paid Loss'!AK85</f>
        <v>2.6975892175271223E-4</v>
      </c>
      <c r="AL85" s="19"/>
      <c r="AM85" s="17"/>
      <c r="AN85" s="369">
        <f>'Disc Fact Paid Loss'!AN85</f>
        <v>52779</v>
      </c>
      <c r="AO85" s="370">
        <f>'Disc Fact Paid Loss'!AO85</f>
        <v>52870</v>
      </c>
      <c r="AP85" s="372">
        <f>'Disc Fact Paid Loss'!AP85</f>
        <v>2.6975892175271223E-4</v>
      </c>
    </row>
    <row r="86" spans="36:42" ht="15" customHeight="1" x14ac:dyDescent="0.2">
      <c r="AJ86" s="42">
        <f t="shared" si="20"/>
        <v>78</v>
      </c>
      <c r="AK86" s="64">
        <f>'Disc Fact Paid Loss'!AK86</f>
        <v>3.0946736212048058E-4</v>
      </c>
      <c r="AL86" s="19"/>
      <c r="AM86" s="17"/>
      <c r="AN86" s="369">
        <f>'Disc Fact Paid Loss'!AN86</f>
        <v>52871</v>
      </c>
      <c r="AO86" s="370">
        <f>'Disc Fact Paid Loss'!AO86</f>
        <v>52962</v>
      </c>
      <c r="AP86" s="372">
        <f>'Disc Fact Paid Loss'!AP86</f>
        <v>3.0946736212048058E-4</v>
      </c>
    </row>
    <row r="87" spans="36:42" ht="15" customHeight="1" x14ac:dyDescent="0.2">
      <c r="AJ87" s="42">
        <f t="shared" si="20"/>
        <v>79</v>
      </c>
      <c r="AK87" s="64">
        <f>'Disc Fact Paid Loss'!AK87</f>
        <v>3.5645551729355097E-4</v>
      </c>
      <c r="AL87" s="19"/>
      <c r="AM87" s="17"/>
      <c r="AN87" s="369">
        <f>'Disc Fact Paid Loss'!AN87</f>
        <v>52963</v>
      </c>
      <c r="AO87" s="370">
        <f>'Disc Fact Paid Loss'!AO87</f>
        <v>53052</v>
      </c>
      <c r="AP87" s="372">
        <f>'Disc Fact Paid Loss'!AP87</f>
        <v>3.5645551729355097E-4</v>
      </c>
    </row>
    <row r="88" spans="36:42" ht="15" customHeight="1" x14ac:dyDescent="0.2">
      <c r="AJ88" s="42">
        <f t="shared" si="20"/>
        <v>80</v>
      </c>
      <c r="AK88" s="64">
        <f>'Disc Fact Paid Loss'!AK88</f>
        <v>3.9812504988566411E-4</v>
      </c>
      <c r="AL88" s="19"/>
      <c r="AM88" s="17"/>
      <c r="AN88" s="369">
        <f>'Disc Fact Paid Loss'!AN88</f>
        <v>53053</v>
      </c>
      <c r="AO88" s="370">
        <f>'Disc Fact Paid Loss'!AO88</f>
        <v>53143</v>
      </c>
      <c r="AP88" s="372">
        <f>'Disc Fact Paid Loss'!AP88</f>
        <v>3.9812504988566411E-4</v>
      </c>
    </row>
    <row r="89" spans="36:42" ht="15" customHeight="1" x14ac:dyDescent="0.2">
      <c r="AJ89" s="42">
        <f t="shared" si="20"/>
        <v>81</v>
      </c>
      <c r="AK89" s="64">
        <f>'Disc Fact Paid Loss'!AK89</f>
        <v>4.4785539388987312E-4</v>
      </c>
      <c r="AL89" s="19"/>
      <c r="AM89" s="17"/>
      <c r="AN89" s="369">
        <f>'Disc Fact Paid Loss'!AN89</f>
        <v>53144</v>
      </c>
      <c r="AO89" s="370">
        <f>'Disc Fact Paid Loss'!AO89</f>
        <v>53235</v>
      </c>
      <c r="AP89" s="372">
        <f>'Disc Fact Paid Loss'!AP89</f>
        <v>4.4785539388987312E-4</v>
      </c>
    </row>
    <row r="90" spans="36:42" ht="15" customHeight="1" x14ac:dyDescent="0.2">
      <c r="AJ90" s="42">
        <f t="shared" si="20"/>
        <v>82</v>
      </c>
      <c r="AK90" s="64">
        <f>'Disc Fact Paid Loss'!AK90</f>
        <v>4.9455330641955456E-4</v>
      </c>
      <c r="AL90" s="19"/>
      <c r="AM90" s="17"/>
      <c r="AN90" s="369">
        <f>'Disc Fact Paid Loss'!AN90</f>
        <v>53236</v>
      </c>
      <c r="AO90" s="370">
        <f>'Disc Fact Paid Loss'!AO90</f>
        <v>53327</v>
      </c>
      <c r="AP90" s="372">
        <f>'Disc Fact Paid Loss'!AP90</f>
        <v>4.9455330641955456E-4</v>
      </c>
    </row>
    <row r="91" spans="36:42" ht="15" customHeight="1" x14ac:dyDescent="0.2">
      <c r="AJ91" s="42">
        <f t="shared" si="20"/>
        <v>83</v>
      </c>
      <c r="AK91" s="64">
        <f>'Disc Fact Paid Loss'!AK91</f>
        <v>5.4822100180414363E-4</v>
      </c>
      <c r="AL91" s="19"/>
      <c r="AM91" s="17"/>
      <c r="AN91" s="369">
        <f>'Disc Fact Paid Loss'!AN91</f>
        <v>53328</v>
      </c>
      <c r="AO91" s="370">
        <f>'Disc Fact Paid Loss'!AO91</f>
        <v>53417</v>
      </c>
      <c r="AP91" s="372">
        <f>'Disc Fact Paid Loss'!AP91</f>
        <v>5.4822100180414363E-4</v>
      </c>
    </row>
    <row r="92" spans="36:42" ht="15" customHeight="1" x14ac:dyDescent="0.2">
      <c r="AJ92" s="42">
        <f t="shared" si="20"/>
        <v>84</v>
      </c>
      <c r="AK92" s="64">
        <f>'Disc Fact Paid Loss'!AK92</f>
        <v>5.9573151436887362E-4</v>
      </c>
      <c r="AL92" s="19"/>
      <c r="AM92" s="17"/>
      <c r="AN92" s="369">
        <f>'Disc Fact Paid Loss'!AN92</f>
        <v>53418</v>
      </c>
      <c r="AO92" s="370">
        <f>'Disc Fact Paid Loss'!AO92</f>
        <v>53508</v>
      </c>
      <c r="AP92" s="372">
        <f>'Disc Fact Paid Loss'!AP92</f>
        <v>5.9573151436887362E-4</v>
      </c>
    </row>
    <row r="93" spans="36:42" ht="15" customHeight="1" x14ac:dyDescent="0.2">
      <c r="AJ93" s="42">
        <f t="shared" si="20"/>
        <v>85</v>
      </c>
      <c r="AK93" s="64">
        <f>'Disc Fact Paid Loss'!AK93</f>
        <v>7.0083425544693097E-4</v>
      </c>
      <c r="AL93" s="19"/>
      <c r="AM93" s="17"/>
      <c r="AN93" s="369">
        <f>'Disc Fact Paid Loss'!AN93</f>
        <v>53509</v>
      </c>
      <c r="AO93" s="370">
        <f>'Disc Fact Paid Loss'!AO93</f>
        <v>53600</v>
      </c>
      <c r="AP93" s="372">
        <f>'Disc Fact Paid Loss'!AP93</f>
        <v>7.0083425544693097E-4</v>
      </c>
    </row>
    <row r="94" spans="36:42" ht="15" customHeight="1" x14ac:dyDescent="0.2">
      <c r="AJ94" s="42">
        <f t="shared" si="20"/>
        <v>86</v>
      </c>
      <c r="AK94" s="64">
        <f>'Disc Fact Paid Loss'!AK94</f>
        <v>8.3558101135292875E-4</v>
      </c>
      <c r="AL94" s="19"/>
      <c r="AM94" s="17"/>
      <c r="AN94" s="369">
        <f>'Disc Fact Paid Loss'!AN94</f>
        <v>53601</v>
      </c>
      <c r="AO94" s="370">
        <f>'Disc Fact Paid Loss'!AO94</f>
        <v>53692</v>
      </c>
      <c r="AP94" s="372">
        <f>'Disc Fact Paid Loss'!AP94</f>
        <v>8.3558101135292875E-4</v>
      </c>
    </row>
    <row r="95" spans="36:42" ht="15" customHeight="1" x14ac:dyDescent="0.2">
      <c r="AJ95" s="42">
        <f t="shared" si="20"/>
        <v>87</v>
      </c>
      <c r="AK95" s="64">
        <f>'Disc Fact Paid Loss'!AK95</f>
        <v>9.9764490813696906E-4</v>
      </c>
      <c r="AL95" s="19"/>
      <c r="AM95" s="17"/>
      <c r="AN95" s="369">
        <f>'Disc Fact Paid Loss'!AN95</f>
        <v>53693</v>
      </c>
      <c r="AO95" s="370">
        <f>'Disc Fact Paid Loss'!AO95</f>
        <v>53782</v>
      </c>
      <c r="AP95" s="372">
        <f>'Disc Fact Paid Loss'!AP95</f>
        <v>9.9764490813696906E-4</v>
      </c>
    </row>
    <row r="96" spans="36:42" ht="15" customHeight="1" x14ac:dyDescent="0.2">
      <c r="AJ96" s="42">
        <f t="shared" si="20"/>
        <v>88</v>
      </c>
      <c r="AK96" s="64">
        <f>'Disc Fact Paid Loss'!AK96</f>
        <v>1.1415002024976041E-3</v>
      </c>
      <c r="AL96" s="19"/>
      <c r="AM96" s="17"/>
      <c r="AN96" s="369">
        <f>'Disc Fact Paid Loss'!AN96</f>
        <v>53783</v>
      </c>
      <c r="AO96" s="370">
        <f>'Disc Fact Paid Loss'!AO96</f>
        <v>53873</v>
      </c>
      <c r="AP96" s="372">
        <f>'Disc Fact Paid Loss'!AP96</f>
        <v>1.1415002024976041E-3</v>
      </c>
    </row>
    <row r="97" spans="36:42" ht="15" customHeight="1" x14ac:dyDescent="0.2">
      <c r="AJ97" s="42">
        <f t="shared" si="20"/>
        <v>89</v>
      </c>
      <c r="AK97" s="64">
        <f>'Disc Fact Paid Loss'!AK97</f>
        <v>1.2215213557139099E-3</v>
      </c>
      <c r="AL97" s="19"/>
      <c r="AM97" s="17"/>
      <c r="AN97" s="369">
        <f>'Disc Fact Paid Loss'!AN97</f>
        <v>53874</v>
      </c>
      <c r="AO97" s="370">
        <f>'Disc Fact Paid Loss'!AO97</f>
        <v>53965</v>
      </c>
      <c r="AP97" s="372">
        <f>'Disc Fact Paid Loss'!AP97</f>
        <v>1.2215213557139099E-3</v>
      </c>
    </row>
    <row r="98" spans="36:42" ht="15" customHeight="1" x14ac:dyDescent="0.2">
      <c r="AJ98" s="42">
        <f t="shared" si="20"/>
        <v>90</v>
      </c>
      <c r="AK98" s="64">
        <f>'Disc Fact Paid Loss'!AK98</f>
        <v>1.2280886748306512E-3</v>
      </c>
      <c r="AL98" s="19"/>
      <c r="AM98" s="17"/>
      <c r="AN98" s="369">
        <f>'Disc Fact Paid Loss'!AN98</f>
        <v>53966</v>
      </c>
      <c r="AO98" s="370">
        <f>'Disc Fact Paid Loss'!AO98</f>
        <v>54057</v>
      </c>
      <c r="AP98" s="372">
        <f>'Disc Fact Paid Loss'!AP98</f>
        <v>1.2280886748306512E-3</v>
      </c>
    </row>
    <row r="99" spans="36:42" ht="15" customHeight="1" x14ac:dyDescent="0.2">
      <c r="AJ99" s="42">
        <f t="shared" si="20"/>
        <v>91</v>
      </c>
      <c r="AK99" s="64">
        <f>'Disc Fact Paid Loss'!AK99</f>
        <v>1.2215213557139099E-3</v>
      </c>
      <c r="AL99" s="19"/>
      <c r="AM99" s="17"/>
      <c r="AN99" s="369">
        <f>'Disc Fact Paid Loss'!AN99</f>
        <v>54058</v>
      </c>
      <c r="AO99" s="370">
        <f>'Disc Fact Paid Loss'!AO99</f>
        <v>54148</v>
      </c>
      <c r="AP99" s="372">
        <f>'Disc Fact Paid Loss'!AP99</f>
        <v>1.2215213557139099E-3</v>
      </c>
    </row>
    <row r="100" spans="36:42" ht="15" customHeight="1" x14ac:dyDescent="0.2">
      <c r="AJ100" s="42">
        <f t="shared" si="20"/>
        <v>92</v>
      </c>
      <c r="AK100" s="64">
        <f>'Disc Fact Paid Loss'!AK100</f>
        <v>1.2149540365971685E-3</v>
      </c>
      <c r="AL100" s="19"/>
      <c r="AM100" s="17"/>
      <c r="AN100" s="369">
        <f>'Disc Fact Paid Loss'!AN100</f>
        <v>54149</v>
      </c>
      <c r="AO100" s="370">
        <f>'Disc Fact Paid Loss'!AO100</f>
        <v>54239</v>
      </c>
      <c r="AP100" s="372">
        <f>'Disc Fact Paid Loss'!AP100</f>
        <v>1.2149540365971685E-3</v>
      </c>
    </row>
    <row r="101" spans="36:42" ht="15" customHeight="1" x14ac:dyDescent="0.2">
      <c r="AJ101" s="42">
        <f t="shared" si="20"/>
        <v>93</v>
      </c>
      <c r="AK101" s="64">
        <f>'Disc Fact Paid Loss'!AK101</f>
        <v>1.2215213557139099E-3</v>
      </c>
      <c r="AL101" s="19"/>
      <c r="AM101" s="17"/>
      <c r="AN101" s="369">
        <f>'Disc Fact Paid Loss'!AN101</f>
        <v>54240</v>
      </c>
      <c r="AO101" s="370">
        <f>'Disc Fact Paid Loss'!AO101</f>
        <v>54331</v>
      </c>
      <c r="AP101" s="372">
        <f>'Disc Fact Paid Loss'!AP101</f>
        <v>1.2215213557139099E-3</v>
      </c>
    </row>
    <row r="102" spans="36:42" ht="15" customHeight="1" x14ac:dyDescent="0.2">
      <c r="AJ102" s="42">
        <f t="shared" si="20"/>
        <v>94</v>
      </c>
      <c r="AK102" s="64">
        <f>'Disc Fact Paid Loss'!AK102</f>
        <v>1.2280886748306512E-3</v>
      </c>
      <c r="AL102" s="19"/>
      <c r="AM102" s="17"/>
      <c r="AN102" s="369">
        <f>'Disc Fact Paid Loss'!AN102</f>
        <v>54332</v>
      </c>
      <c r="AO102" s="370">
        <f>'Disc Fact Paid Loss'!AO102</f>
        <v>54423</v>
      </c>
      <c r="AP102" s="372">
        <f>'Disc Fact Paid Loss'!AP102</f>
        <v>1.2280886748306512E-3</v>
      </c>
    </row>
    <row r="103" spans="36:42" ht="15" customHeight="1" x14ac:dyDescent="0.2">
      <c r="AJ103" s="42">
        <f t="shared" si="20"/>
        <v>95</v>
      </c>
      <c r="AK103" s="64">
        <f>'Disc Fact Paid Loss'!AK103</f>
        <v>1.2215213557139097E-3</v>
      </c>
      <c r="AL103" s="19"/>
      <c r="AM103" s="17"/>
      <c r="AN103" s="369">
        <f>'Disc Fact Paid Loss'!AN103</f>
        <v>54424</v>
      </c>
      <c r="AO103" s="370">
        <f>'Disc Fact Paid Loss'!AO103</f>
        <v>54513</v>
      </c>
      <c r="AP103" s="372">
        <f>'Disc Fact Paid Loss'!AP103</f>
        <v>1.2215213557139097E-3</v>
      </c>
    </row>
    <row r="104" spans="36:42" ht="15" customHeight="1" x14ac:dyDescent="0.2">
      <c r="AJ104" s="42">
        <f t="shared" si="20"/>
        <v>96</v>
      </c>
      <c r="AK104" s="64">
        <f>'Disc Fact Paid Loss'!AK104</f>
        <v>1.2149540365971685E-3</v>
      </c>
      <c r="AL104" s="19"/>
      <c r="AM104" s="17"/>
      <c r="AN104" s="369">
        <f>'Disc Fact Paid Loss'!AN104</f>
        <v>54514</v>
      </c>
      <c r="AO104" s="370">
        <f>'Disc Fact Paid Loss'!AO104</f>
        <v>54604</v>
      </c>
      <c r="AP104" s="372">
        <f>'Disc Fact Paid Loss'!AP104</f>
        <v>1.2149540365971685E-3</v>
      </c>
    </row>
    <row r="105" spans="36:42" ht="15" customHeight="1" x14ac:dyDescent="0.2">
      <c r="AJ105" s="42">
        <f t="shared" si="20"/>
        <v>97</v>
      </c>
      <c r="AK105" s="64">
        <f>'Disc Fact Paid Loss'!AK105</f>
        <v>1.2215213557139099E-3</v>
      </c>
      <c r="AL105" s="19"/>
      <c r="AM105" s="17"/>
      <c r="AN105" s="369">
        <f>'Disc Fact Paid Loss'!AN105</f>
        <v>54605</v>
      </c>
      <c r="AO105" s="370">
        <f>'Disc Fact Paid Loss'!AO105</f>
        <v>54696</v>
      </c>
      <c r="AP105" s="372">
        <f>'Disc Fact Paid Loss'!AP105</f>
        <v>1.2215213557139099E-3</v>
      </c>
    </row>
    <row r="106" spans="36:42" ht="15" customHeight="1" x14ac:dyDescent="0.2">
      <c r="AJ106" s="42">
        <f t="shared" si="20"/>
        <v>98</v>
      </c>
      <c r="AK106" s="64">
        <f>'Disc Fact Paid Loss'!AK106</f>
        <v>1.2280886748306512E-3</v>
      </c>
      <c r="AL106" s="19"/>
      <c r="AM106" s="17"/>
      <c r="AN106" s="369">
        <f>'Disc Fact Paid Loss'!AN106</f>
        <v>54697</v>
      </c>
      <c r="AO106" s="370">
        <f>'Disc Fact Paid Loss'!AO106</f>
        <v>54788</v>
      </c>
      <c r="AP106" s="372">
        <f>'Disc Fact Paid Loss'!AP106</f>
        <v>1.2280886748306512E-3</v>
      </c>
    </row>
    <row r="107" spans="36:42" ht="15" customHeight="1" x14ac:dyDescent="0.2">
      <c r="AJ107" s="42">
        <f t="shared" si="20"/>
        <v>99</v>
      </c>
      <c r="AK107" s="64">
        <f>'Disc Fact Paid Loss'!AK107</f>
        <v>1.2215213557139097E-3</v>
      </c>
      <c r="AL107" s="19"/>
      <c r="AM107" s="17"/>
      <c r="AN107" s="369">
        <f>'Disc Fact Paid Loss'!AN107</f>
        <v>54789</v>
      </c>
      <c r="AO107" s="370">
        <f>'Disc Fact Paid Loss'!AO107</f>
        <v>54878</v>
      </c>
      <c r="AP107" s="372">
        <f>'Disc Fact Paid Loss'!AP107</f>
        <v>1.2215213557139097E-3</v>
      </c>
    </row>
    <row r="108" spans="36:42" ht="15" customHeight="1" x14ac:dyDescent="0.2">
      <c r="AJ108" s="42">
        <f t="shared" si="20"/>
        <v>100</v>
      </c>
      <c r="AK108" s="64">
        <f>'Disc Fact Paid Loss'!AK108</f>
        <v>1.2149540365971685E-3</v>
      </c>
      <c r="AL108" s="19"/>
      <c r="AM108" s="17"/>
      <c r="AN108" s="369">
        <f>'Disc Fact Paid Loss'!AN108</f>
        <v>54879</v>
      </c>
      <c r="AO108" s="370">
        <f>'Disc Fact Paid Loss'!AO108</f>
        <v>54969</v>
      </c>
      <c r="AP108" s="372">
        <f>'Disc Fact Paid Loss'!AP108</f>
        <v>1.2149540365971685E-3</v>
      </c>
    </row>
    <row r="109" spans="36:42" ht="15" customHeight="1" x14ac:dyDescent="0.2">
      <c r="AJ109" s="42">
        <f t="shared" si="20"/>
        <v>101</v>
      </c>
      <c r="AK109" s="64">
        <f>'Disc Fact Paid Loss'!AK109</f>
        <v>1.2215213557139099E-3</v>
      </c>
      <c r="AL109" s="19"/>
      <c r="AM109" s="17"/>
      <c r="AN109" s="369">
        <f>'Disc Fact Paid Loss'!AN109</f>
        <v>54970</v>
      </c>
      <c r="AO109" s="370">
        <f>'Disc Fact Paid Loss'!AO109</f>
        <v>55061</v>
      </c>
      <c r="AP109" s="372">
        <f>'Disc Fact Paid Loss'!AP109</f>
        <v>1.2215213557139099E-3</v>
      </c>
    </row>
    <row r="110" spans="36:42" ht="15" customHeight="1" x14ac:dyDescent="0.2">
      <c r="AJ110" s="42">
        <f t="shared" si="20"/>
        <v>102</v>
      </c>
      <c r="AK110" s="64">
        <f>'Disc Fact Paid Loss'!AK110</f>
        <v>1.2280886748306512E-3</v>
      </c>
      <c r="AL110" s="19"/>
      <c r="AM110" s="17"/>
      <c r="AN110" s="369">
        <f>'Disc Fact Paid Loss'!AN110</f>
        <v>55062</v>
      </c>
      <c r="AO110" s="370">
        <f>'Disc Fact Paid Loss'!AO110</f>
        <v>55153</v>
      </c>
      <c r="AP110" s="372">
        <f>'Disc Fact Paid Loss'!AP110</f>
        <v>1.2280886748306512E-3</v>
      </c>
    </row>
    <row r="111" spans="36:42" ht="15" customHeight="1" x14ac:dyDescent="0.2">
      <c r="AJ111" s="42">
        <f t="shared" si="20"/>
        <v>103</v>
      </c>
      <c r="AK111" s="64">
        <f>'Disc Fact Paid Loss'!AK111</f>
        <v>1.2215213557139097E-3</v>
      </c>
      <c r="AL111" s="19"/>
      <c r="AM111" s="17"/>
      <c r="AN111" s="369">
        <f>'Disc Fact Paid Loss'!AN111</f>
        <v>55154</v>
      </c>
      <c r="AO111" s="370">
        <f>'Disc Fact Paid Loss'!AO111</f>
        <v>55243</v>
      </c>
      <c r="AP111" s="372">
        <f>'Disc Fact Paid Loss'!AP111</f>
        <v>1.2215213557139097E-3</v>
      </c>
    </row>
    <row r="112" spans="36:42" ht="15" customHeight="1" x14ac:dyDescent="0.2">
      <c r="AJ112" s="42">
        <f t="shared" si="20"/>
        <v>104</v>
      </c>
      <c r="AK112" s="64">
        <f>'Disc Fact Paid Loss'!AK112</f>
        <v>1.2149540365971685E-3</v>
      </c>
      <c r="AL112" s="19"/>
      <c r="AM112" s="17"/>
      <c r="AN112" s="369">
        <f>'Disc Fact Paid Loss'!AN112</f>
        <v>55244</v>
      </c>
      <c r="AO112" s="370">
        <f>'Disc Fact Paid Loss'!AO112</f>
        <v>55334</v>
      </c>
      <c r="AP112" s="372">
        <f>'Disc Fact Paid Loss'!AP112</f>
        <v>1.2149540365971685E-3</v>
      </c>
    </row>
    <row r="113" spans="36:42" ht="15" customHeight="1" x14ac:dyDescent="0.2">
      <c r="AJ113" s="42">
        <f t="shared" si="20"/>
        <v>105</v>
      </c>
      <c r="AK113" s="64">
        <f>'Disc Fact Paid Loss'!AK113</f>
        <v>1.2215213557139099E-3</v>
      </c>
      <c r="AL113" s="19"/>
      <c r="AM113" s="17"/>
      <c r="AN113" s="369">
        <f>'Disc Fact Paid Loss'!AN113</f>
        <v>55335</v>
      </c>
      <c r="AO113" s="370">
        <f>'Disc Fact Paid Loss'!AO113</f>
        <v>55426</v>
      </c>
      <c r="AP113" s="372">
        <f>'Disc Fact Paid Loss'!AP113</f>
        <v>1.2215213557139099E-3</v>
      </c>
    </row>
    <row r="114" spans="36:42" ht="15" customHeight="1" x14ac:dyDescent="0.2">
      <c r="AJ114" s="42">
        <f t="shared" si="20"/>
        <v>106</v>
      </c>
      <c r="AK114" s="64">
        <f>'Disc Fact Paid Loss'!AK114</f>
        <v>1.2280886748306512E-3</v>
      </c>
      <c r="AL114" s="19"/>
      <c r="AM114" s="17"/>
      <c r="AN114" s="369">
        <f>'Disc Fact Paid Loss'!AN114</f>
        <v>55427</v>
      </c>
      <c r="AO114" s="370">
        <f>'Disc Fact Paid Loss'!AO114</f>
        <v>55518</v>
      </c>
      <c r="AP114" s="372">
        <f>'Disc Fact Paid Loss'!AP114</f>
        <v>1.2280886748306512E-3</v>
      </c>
    </row>
    <row r="115" spans="36:42" ht="15" customHeight="1" x14ac:dyDescent="0.2">
      <c r="AJ115" s="42">
        <f t="shared" si="20"/>
        <v>107</v>
      </c>
      <c r="AK115" s="64">
        <f>'Disc Fact Paid Loss'!AK115</f>
        <v>1.2215213557139099E-3</v>
      </c>
      <c r="AL115" s="19"/>
      <c r="AM115" s="17"/>
      <c r="AN115" s="369">
        <f>'Disc Fact Paid Loss'!AN115</f>
        <v>55519</v>
      </c>
      <c r="AO115" s="370">
        <f>'Disc Fact Paid Loss'!AO115</f>
        <v>55609</v>
      </c>
      <c r="AP115" s="372">
        <f>'Disc Fact Paid Loss'!AP115</f>
        <v>1.2215213557139099E-3</v>
      </c>
    </row>
    <row r="116" spans="36:42" ht="15" customHeight="1" x14ac:dyDescent="0.2">
      <c r="AJ116" s="42">
        <f t="shared" si="20"/>
        <v>108</v>
      </c>
      <c r="AK116" s="64">
        <f>'Disc Fact Paid Loss'!AK116</f>
        <v>1.2149540365971685E-3</v>
      </c>
      <c r="AL116" s="19"/>
      <c r="AM116" s="17"/>
      <c r="AN116" s="369">
        <f>'Disc Fact Paid Loss'!AN116</f>
        <v>55610</v>
      </c>
      <c r="AO116" s="370">
        <f>'Disc Fact Paid Loss'!AO116</f>
        <v>55700</v>
      </c>
      <c r="AP116" s="372">
        <f>'Disc Fact Paid Loss'!AP116</f>
        <v>1.2149540365971685E-3</v>
      </c>
    </row>
    <row r="117" spans="36:42" ht="15" customHeight="1" x14ac:dyDescent="0.2">
      <c r="AJ117" s="42">
        <f t="shared" si="20"/>
        <v>109</v>
      </c>
      <c r="AK117" s="64">
        <f>'Disc Fact Paid Loss'!AK117</f>
        <v>1.2215213557139099E-3</v>
      </c>
      <c r="AL117" s="19"/>
      <c r="AM117" s="17"/>
      <c r="AN117" s="369">
        <f>'Disc Fact Paid Loss'!AN117</f>
        <v>55701</v>
      </c>
      <c r="AO117" s="370">
        <f>'Disc Fact Paid Loss'!AO117</f>
        <v>55792</v>
      </c>
      <c r="AP117" s="372">
        <f>'Disc Fact Paid Loss'!AP117</f>
        <v>1.2215213557139099E-3</v>
      </c>
    </row>
    <row r="118" spans="36:42" ht="15" customHeight="1" x14ac:dyDescent="0.2">
      <c r="AJ118" s="42">
        <f t="shared" si="20"/>
        <v>110</v>
      </c>
      <c r="AK118" s="64">
        <f>'Disc Fact Paid Loss'!AK118</f>
        <v>1.2280886748306512E-3</v>
      </c>
      <c r="AL118" s="19"/>
      <c r="AM118" s="17"/>
      <c r="AN118" s="369">
        <f>'Disc Fact Paid Loss'!AN118</f>
        <v>55793</v>
      </c>
      <c r="AO118" s="370">
        <f>'Disc Fact Paid Loss'!AO118</f>
        <v>55884</v>
      </c>
      <c r="AP118" s="372">
        <f>'Disc Fact Paid Loss'!AP118</f>
        <v>1.2280886748306512E-3</v>
      </c>
    </row>
    <row r="119" spans="36:42" ht="15" customHeight="1" x14ac:dyDescent="0.2">
      <c r="AJ119" s="42">
        <f t="shared" si="20"/>
        <v>111</v>
      </c>
      <c r="AK119" s="64">
        <f>'Disc Fact Paid Loss'!AK119</f>
        <v>1.2215213557139097E-3</v>
      </c>
      <c r="AL119" s="19"/>
      <c r="AM119" s="17"/>
      <c r="AN119" s="369">
        <f>'Disc Fact Paid Loss'!AN119</f>
        <v>55885</v>
      </c>
      <c r="AO119" s="370">
        <f>'Disc Fact Paid Loss'!AO119</f>
        <v>55974</v>
      </c>
      <c r="AP119" s="372">
        <f>'Disc Fact Paid Loss'!AP119</f>
        <v>1.2215213557139097E-3</v>
      </c>
    </row>
    <row r="120" spans="36:42" ht="15" customHeight="1" x14ac:dyDescent="0.2">
      <c r="AJ120" s="42">
        <f t="shared" si="20"/>
        <v>112</v>
      </c>
      <c r="AK120" s="64">
        <f>'Disc Fact Paid Loss'!AK120</f>
        <v>1.2149540365971685E-3</v>
      </c>
      <c r="AL120" s="19"/>
      <c r="AM120" s="17"/>
      <c r="AN120" s="369">
        <f>'Disc Fact Paid Loss'!AN120</f>
        <v>55975</v>
      </c>
      <c r="AO120" s="370">
        <f>'Disc Fact Paid Loss'!AO120</f>
        <v>56065</v>
      </c>
      <c r="AP120" s="372">
        <f>'Disc Fact Paid Loss'!AP120</f>
        <v>1.2149540365971685E-3</v>
      </c>
    </row>
    <row r="121" spans="36:42" ht="15" customHeight="1" x14ac:dyDescent="0.2">
      <c r="AJ121" s="42">
        <f t="shared" si="20"/>
        <v>113</v>
      </c>
      <c r="AK121" s="64">
        <f>'Disc Fact Paid Loss'!AK121</f>
        <v>1.2215213557139099E-3</v>
      </c>
      <c r="AL121" s="19"/>
      <c r="AM121" s="17"/>
      <c r="AN121" s="369">
        <f>'Disc Fact Paid Loss'!AN121</f>
        <v>56066</v>
      </c>
      <c r="AO121" s="370">
        <f>'Disc Fact Paid Loss'!AO121</f>
        <v>56157</v>
      </c>
      <c r="AP121" s="372">
        <f>'Disc Fact Paid Loss'!AP121</f>
        <v>1.2215213557139099E-3</v>
      </c>
    </row>
    <row r="122" spans="36:42" ht="15" customHeight="1" x14ac:dyDescent="0.2">
      <c r="AJ122" s="42">
        <f t="shared" si="20"/>
        <v>114</v>
      </c>
      <c r="AK122" s="64">
        <f>'Disc Fact Paid Loss'!AK122</f>
        <v>1.2280886748306512E-3</v>
      </c>
      <c r="AL122" s="19"/>
      <c r="AM122" s="17"/>
      <c r="AN122" s="369">
        <f>'Disc Fact Paid Loss'!AN122</f>
        <v>56158</v>
      </c>
      <c r="AO122" s="370">
        <f>'Disc Fact Paid Loss'!AO122</f>
        <v>56249</v>
      </c>
      <c r="AP122" s="372">
        <f>'Disc Fact Paid Loss'!AP122</f>
        <v>1.2280886748306512E-3</v>
      </c>
    </row>
    <row r="123" spans="36:42" ht="15" customHeight="1" x14ac:dyDescent="0.2">
      <c r="AJ123" s="42">
        <f t="shared" si="20"/>
        <v>115</v>
      </c>
      <c r="AK123" s="64">
        <f>'Disc Fact Paid Loss'!AK123</f>
        <v>1.2215213557139097E-3</v>
      </c>
      <c r="AL123" s="19"/>
      <c r="AM123" s="17"/>
      <c r="AN123" s="369">
        <f>'Disc Fact Paid Loss'!AN123</f>
        <v>56250</v>
      </c>
      <c r="AO123" s="370">
        <f>'Disc Fact Paid Loss'!AO123</f>
        <v>56339</v>
      </c>
      <c r="AP123" s="372">
        <f>'Disc Fact Paid Loss'!AP123</f>
        <v>1.2215213557139097E-3</v>
      </c>
    </row>
    <row r="124" spans="36:42" ht="15" customHeight="1" x14ac:dyDescent="0.2">
      <c r="AJ124" s="42">
        <f t="shared" si="20"/>
        <v>116</v>
      </c>
      <c r="AK124" s="64">
        <f>'Disc Fact Paid Loss'!AK124</f>
        <v>1.2149540365971685E-3</v>
      </c>
      <c r="AL124" s="19"/>
      <c r="AM124" s="17"/>
      <c r="AN124" s="369">
        <f>'Disc Fact Paid Loss'!AN124</f>
        <v>56340</v>
      </c>
      <c r="AO124" s="370">
        <f>'Disc Fact Paid Loss'!AO124</f>
        <v>56430</v>
      </c>
      <c r="AP124" s="372">
        <f>'Disc Fact Paid Loss'!AP124</f>
        <v>1.2149540365971685E-3</v>
      </c>
    </row>
    <row r="125" spans="36:42" ht="15" customHeight="1" x14ac:dyDescent="0.2">
      <c r="AJ125" s="42">
        <f t="shared" si="20"/>
        <v>117</v>
      </c>
      <c r="AK125" s="64">
        <f>'Disc Fact Paid Loss'!AK125</f>
        <v>1.2215213557139099E-3</v>
      </c>
      <c r="AL125" s="19"/>
      <c r="AM125" s="17"/>
      <c r="AN125" s="369">
        <f>'Disc Fact Paid Loss'!AN125</f>
        <v>56431</v>
      </c>
      <c r="AO125" s="370">
        <f>'Disc Fact Paid Loss'!AO125</f>
        <v>56522</v>
      </c>
      <c r="AP125" s="372">
        <f>'Disc Fact Paid Loss'!AP125</f>
        <v>1.2215213557139099E-3</v>
      </c>
    </row>
    <row r="126" spans="36:42" ht="15" customHeight="1" x14ac:dyDescent="0.2">
      <c r="AJ126" s="42">
        <f t="shared" si="20"/>
        <v>118</v>
      </c>
      <c r="AK126" s="64">
        <f>'Disc Fact Paid Loss'!AK126</f>
        <v>1.2280886748306512E-3</v>
      </c>
      <c r="AL126" s="19"/>
      <c r="AM126" s="17"/>
      <c r="AN126" s="369">
        <f>'Disc Fact Paid Loss'!AN126</f>
        <v>56523</v>
      </c>
      <c r="AO126" s="370">
        <f>'Disc Fact Paid Loss'!AO126</f>
        <v>56614</v>
      </c>
      <c r="AP126" s="372">
        <f>'Disc Fact Paid Loss'!AP126</f>
        <v>1.2280886748306512E-3</v>
      </c>
    </row>
    <row r="127" spans="36:42" ht="15" customHeight="1" x14ac:dyDescent="0.2">
      <c r="AJ127" s="42">
        <f t="shared" si="20"/>
        <v>119</v>
      </c>
      <c r="AK127" s="64">
        <f>'Disc Fact Paid Loss'!AK127</f>
        <v>1.2215213557139097E-3</v>
      </c>
      <c r="AL127" s="19"/>
      <c r="AM127" s="17"/>
      <c r="AN127" s="369">
        <f>'Disc Fact Paid Loss'!AN127</f>
        <v>56615</v>
      </c>
      <c r="AO127" s="370">
        <f>'Disc Fact Paid Loss'!AO127</f>
        <v>56704</v>
      </c>
      <c r="AP127" s="372">
        <f>'Disc Fact Paid Loss'!AP127</f>
        <v>1.2215213557139097E-3</v>
      </c>
    </row>
    <row r="128" spans="36:42" ht="15" customHeight="1" x14ac:dyDescent="0.2">
      <c r="AJ128" s="42">
        <f t="shared" si="20"/>
        <v>120</v>
      </c>
      <c r="AK128" s="64">
        <f>'Disc Fact Paid Loss'!AK128</f>
        <v>1.2149540365971685E-3</v>
      </c>
      <c r="AL128" s="19"/>
      <c r="AM128" s="17"/>
      <c r="AN128" s="369">
        <f>'Disc Fact Paid Loss'!AN128</f>
        <v>56705</v>
      </c>
      <c r="AO128" s="370">
        <f>'Disc Fact Paid Loss'!AO128</f>
        <v>56795</v>
      </c>
      <c r="AP128" s="372">
        <f>'Disc Fact Paid Loss'!AP128</f>
        <v>1.2149540365971685E-3</v>
      </c>
    </row>
    <row r="129" spans="36:42" ht="15" customHeight="1" x14ac:dyDescent="0.2">
      <c r="AJ129" s="42">
        <f t="shared" si="20"/>
        <v>121</v>
      </c>
      <c r="AK129" s="64">
        <f>'Disc Fact Paid Loss'!AK129</f>
        <v>1.2215213557139099E-3</v>
      </c>
      <c r="AL129" s="19"/>
      <c r="AM129" s="17"/>
      <c r="AN129" s="369">
        <f>'Disc Fact Paid Loss'!AN129</f>
        <v>56796</v>
      </c>
      <c r="AO129" s="370">
        <f>'Disc Fact Paid Loss'!AO129</f>
        <v>56887</v>
      </c>
      <c r="AP129" s="372">
        <f>'Disc Fact Paid Loss'!AP129</f>
        <v>1.2215213557139099E-3</v>
      </c>
    </row>
    <row r="130" spans="36:42" ht="15" customHeight="1" x14ac:dyDescent="0.2">
      <c r="AJ130" s="42">
        <f t="shared" si="20"/>
        <v>122</v>
      </c>
      <c r="AK130" s="64">
        <f>'Disc Fact Paid Loss'!AK130</f>
        <v>1.2280886748306512E-3</v>
      </c>
      <c r="AL130" s="19"/>
      <c r="AM130" s="17"/>
      <c r="AN130" s="369">
        <f>'Disc Fact Paid Loss'!AN130</f>
        <v>56888</v>
      </c>
      <c r="AO130" s="370">
        <f>'Disc Fact Paid Loss'!AO130</f>
        <v>56979</v>
      </c>
      <c r="AP130" s="372">
        <f>'Disc Fact Paid Loss'!AP130</f>
        <v>1.2280886748306512E-3</v>
      </c>
    </row>
    <row r="131" spans="36:42" ht="15" customHeight="1" x14ac:dyDescent="0.2">
      <c r="AJ131" s="42">
        <f t="shared" si="20"/>
        <v>123</v>
      </c>
      <c r="AK131" s="64">
        <f>'Disc Fact Paid Loss'!AK131</f>
        <v>1.2215213557139099E-3</v>
      </c>
      <c r="AL131" s="19"/>
      <c r="AM131" s="17"/>
      <c r="AN131" s="369">
        <f>'Disc Fact Paid Loss'!AN131</f>
        <v>56980</v>
      </c>
      <c r="AO131" s="370">
        <f>'Disc Fact Paid Loss'!AO131</f>
        <v>57070</v>
      </c>
      <c r="AP131" s="372">
        <f>'Disc Fact Paid Loss'!AP131</f>
        <v>1.2215213557139099E-3</v>
      </c>
    </row>
    <row r="132" spans="36:42" ht="15" customHeight="1" x14ac:dyDescent="0.2">
      <c r="AJ132" s="42">
        <f t="shared" si="20"/>
        <v>124</v>
      </c>
      <c r="AK132" s="64">
        <f>'Disc Fact Paid Loss'!AK132</f>
        <v>1.2149540365971685E-3</v>
      </c>
      <c r="AL132" s="19"/>
      <c r="AM132" s="17"/>
      <c r="AN132" s="369">
        <f>'Disc Fact Paid Loss'!AN132</f>
        <v>57071</v>
      </c>
      <c r="AO132" s="370">
        <f>'Disc Fact Paid Loss'!AO132</f>
        <v>57161</v>
      </c>
      <c r="AP132" s="372">
        <f>'Disc Fact Paid Loss'!AP132</f>
        <v>1.2149540365971685E-3</v>
      </c>
    </row>
    <row r="133" spans="36:42" ht="15" customHeight="1" x14ac:dyDescent="0.2">
      <c r="AJ133" s="42">
        <f t="shared" si="20"/>
        <v>125</v>
      </c>
      <c r="AK133" s="64">
        <f>'Disc Fact Paid Loss'!AK133</f>
        <v>1.2215213557139099E-3</v>
      </c>
      <c r="AL133" s="19"/>
      <c r="AM133" s="17"/>
      <c r="AN133" s="369">
        <f>'Disc Fact Paid Loss'!AN133</f>
        <v>57162</v>
      </c>
      <c r="AO133" s="370">
        <f>'Disc Fact Paid Loss'!AO133</f>
        <v>57253</v>
      </c>
      <c r="AP133" s="372">
        <f>'Disc Fact Paid Loss'!AP133</f>
        <v>1.2215213557139099E-3</v>
      </c>
    </row>
    <row r="134" spans="36:42" ht="15" customHeight="1" x14ac:dyDescent="0.2">
      <c r="AJ134" s="42">
        <f t="shared" si="20"/>
        <v>126</v>
      </c>
      <c r="AK134" s="64">
        <f>'Disc Fact Paid Loss'!AK134</f>
        <v>1.2280886748306512E-3</v>
      </c>
      <c r="AL134" s="19"/>
      <c r="AM134" s="17"/>
      <c r="AN134" s="369">
        <f>'Disc Fact Paid Loss'!AN134</f>
        <v>57254</v>
      </c>
      <c r="AO134" s="370">
        <f>'Disc Fact Paid Loss'!AO134</f>
        <v>57345</v>
      </c>
      <c r="AP134" s="372">
        <f>'Disc Fact Paid Loss'!AP134</f>
        <v>1.2280886748306512E-3</v>
      </c>
    </row>
    <row r="135" spans="36:42" ht="15" customHeight="1" x14ac:dyDescent="0.2">
      <c r="AJ135" s="42">
        <f t="shared" si="20"/>
        <v>127</v>
      </c>
      <c r="AK135" s="64">
        <f>'Disc Fact Paid Loss'!AK135</f>
        <v>1.2215213557139097E-3</v>
      </c>
      <c r="AL135" s="19"/>
      <c r="AM135" s="17"/>
      <c r="AN135" s="369">
        <f>'Disc Fact Paid Loss'!AN135</f>
        <v>57346</v>
      </c>
      <c r="AO135" s="370">
        <f>'Disc Fact Paid Loss'!AO135</f>
        <v>57435</v>
      </c>
      <c r="AP135" s="372">
        <f>'Disc Fact Paid Loss'!AP135</f>
        <v>1.2215213557139097E-3</v>
      </c>
    </row>
    <row r="136" spans="36:42" ht="15" customHeight="1" x14ac:dyDescent="0.2">
      <c r="AJ136" s="42">
        <f t="shared" si="20"/>
        <v>128</v>
      </c>
      <c r="AK136" s="64">
        <f>'Disc Fact Paid Loss'!AK136</f>
        <v>1.2149540365971685E-3</v>
      </c>
      <c r="AL136" s="19"/>
      <c r="AM136" s="17"/>
      <c r="AN136" s="369">
        <f>'Disc Fact Paid Loss'!AN136</f>
        <v>57436</v>
      </c>
      <c r="AO136" s="370">
        <f>'Disc Fact Paid Loss'!AO136</f>
        <v>57526</v>
      </c>
      <c r="AP136" s="372">
        <f>'Disc Fact Paid Loss'!AP136</f>
        <v>1.2149540365971685E-3</v>
      </c>
    </row>
    <row r="137" spans="36:42" ht="15" customHeight="1" x14ac:dyDescent="0.2">
      <c r="AJ137" s="42">
        <f t="shared" si="20"/>
        <v>129</v>
      </c>
      <c r="AK137" s="64">
        <f>'Disc Fact Paid Loss'!AK137</f>
        <v>1.2215213557139099E-3</v>
      </c>
      <c r="AL137" s="19"/>
      <c r="AM137" s="17"/>
      <c r="AN137" s="369">
        <f>'Disc Fact Paid Loss'!AN137</f>
        <v>57527</v>
      </c>
      <c r="AO137" s="370">
        <f>'Disc Fact Paid Loss'!AO137</f>
        <v>57618</v>
      </c>
      <c r="AP137" s="372">
        <f>'Disc Fact Paid Loss'!AP137</f>
        <v>1.2215213557139099E-3</v>
      </c>
    </row>
    <row r="138" spans="36:42" ht="15" customHeight="1" x14ac:dyDescent="0.2">
      <c r="AJ138" s="42">
        <f t="shared" ref="AJ138:AJ201" si="21">AJ137+1</f>
        <v>130</v>
      </c>
      <c r="AK138" s="64">
        <f>'Disc Fact Paid Loss'!AK138</f>
        <v>1.2280886748306512E-3</v>
      </c>
      <c r="AL138" s="19"/>
      <c r="AM138" s="17"/>
      <c r="AN138" s="369">
        <f>'Disc Fact Paid Loss'!AN138</f>
        <v>57619</v>
      </c>
      <c r="AO138" s="370">
        <f>'Disc Fact Paid Loss'!AO138</f>
        <v>57710</v>
      </c>
      <c r="AP138" s="372">
        <f>'Disc Fact Paid Loss'!AP138</f>
        <v>1.2280886748306512E-3</v>
      </c>
    </row>
    <row r="139" spans="36:42" ht="15" customHeight="1" x14ac:dyDescent="0.2">
      <c r="AJ139" s="42">
        <f t="shared" si="21"/>
        <v>131</v>
      </c>
      <c r="AK139" s="64">
        <f>'Disc Fact Paid Loss'!AK139</f>
        <v>1.2215213557139097E-3</v>
      </c>
      <c r="AL139" s="19"/>
      <c r="AM139" s="17"/>
      <c r="AN139" s="369">
        <f>'Disc Fact Paid Loss'!AN139</f>
        <v>57711</v>
      </c>
      <c r="AO139" s="370">
        <f>'Disc Fact Paid Loss'!AO139</f>
        <v>57800</v>
      </c>
      <c r="AP139" s="372">
        <f>'Disc Fact Paid Loss'!AP139</f>
        <v>1.2215213557139097E-3</v>
      </c>
    </row>
    <row r="140" spans="36:42" ht="15" customHeight="1" x14ac:dyDescent="0.2">
      <c r="AJ140" s="42">
        <f t="shared" si="21"/>
        <v>132</v>
      </c>
      <c r="AK140" s="64">
        <f>'Disc Fact Paid Loss'!AK140</f>
        <v>1.2149540365971685E-3</v>
      </c>
      <c r="AL140" s="19"/>
      <c r="AM140" s="17"/>
      <c r="AN140" s="369">
        <f>'Disc Fact Paid Loss'!AN140</f>
        <v>57801</v>
      </c>
      <c r="AO140" s="370">
        <f>'Disc Fact Paid Loss'!AO140</f>
        <v>57891</v>
      </c>
      <c r="AP140" s="372">
        <f>'Disc Fact Paid Loss'!AP140</f>
        <v>1.2149540365971685E-3</v>
      </c>
    </row>
    <row r="141" spans="36:42" ht="15" customHeight="1" x14ac:dyDescent="0.2">
      <c r="AJ141" s="42">
        <f t="shared" si="21"/>
        <v>133</v>
      </c>
      <c r="AK141" s="64">
        <f>'Disc Fact Paid Loss'!AK141</f>
        <v>1.2215213557139099E-3</v>
      </c>
      <c r="AL141" s="19"/>
      <c r="AM141" s="17"/>
      <c r="AN141" s="369">
        <f>'Disc Fact Paid Loss'!AN141</f>
        <v>57892</v>
      </c>
      <c r="AO141" s="370">
        <f>'Disc Fact Paid Loss'!AO141</f>
        <v>57983</v>
      </c>
      <c r="AP141" s="372">
        <f>'Disc Fact Paid Loss'!AP141</f>
        <v>1.2215213557139099E-3</v>
      </c>
    </row>
    <row r="142" spans="36:42" ht="15" customHeight="1" x14ac:dyDescent="0.2">
      <c r="AJ142" s="42">
        <f t="shared" si="21"/>
        <v>134</v>
      </c>
      <c r="AK142" s="64">
        <f>'Disc Fact Paid Loss'!AK142</f>
        <v>1.2280886748306512E-3</v>
      </c>
      <c r="AL142" s="19"/>
      <c r="AM142" s="17"/>
      <c r="AN142" s="369">
        <f>'Disc Fact Paid Loss'!AN142</f>
        <v>57984</v>
      </c>
      <c r="AO142" s="370">
        <f>'Disc Fact Paid Loss'!AO142</f>
        <v>58075</v>
      </c>
      <c r="AP142" s="372">
        <f>'Disc Fact Paid Loss'!AP142</f>
        <v>1.2280886748306512E-3</v>
      </c>
    </row>
    <row r="143" spans="36:42" ht="15" customHeight="1" x14ac:dyDescent="0.2">
      <c r="AJ143" s="42">
        <f t="shared" si="21"/>
        <v>135</v>
      </c>
      <c r="AK143" s="64">
        <f>'Disc Fact Paid Loss'!AK143</f>
        <v>1.2215213557139097E-3</v>
      </c>
      <c r="AL143" s="19"/>
      <c r="AM143" s="17"/>
      <c r="AN143" s="369">
        <f>'Disc Fact Paid Loss'!AN143</f>
        <v>58076</v>
      </c>
      <c r="AO143" s="370">
        <f>'Disc Fact Paid Loss'!AO143</f>
        <v>58165</v>
      </c>
      <c r="AP143" s="372">
        <f>'Disc Fact Paid Loss'!AP143</f>
        <v>1.2215213557139097E-3</v>
      </c>
    </row>
    <row r="144" spans="36:42" ht="15" customHeight="1" x14ac:dyDescent="0.2">
      <c r="AJ144" s="42">
        <f t="shared" si="21"/>
        <v>136</v>
      </c>
      <c r="AK144" s="64">
        <f>'Disc Fact Paid Loss'!AK144</f>
        <v>1.2149540365971685E-3</v>
      </c>
      <c r="AL144" s="19"/>
      <c r="AM144" s="17"/>
      <c r="AN144" s="369">
        <f>'Disc Fact Paid Loss'!AN144</f>
        <v>58166</v>
      </c>
      <c r="AO144" s="370">
        <f>'Disc Fact Paid Loss'!AO144</f>
        <v>58256</v>
      </c>
      <c r="AP144" s="372">
        <f>'Disc Fact Paid Loss'!AP144</f>
        <v>1.2149540365971685E-3</v>
      </c>
    </row>
    <row r="145" spans="36:42" ht="15" customHeight="1" x14ac:dyDescent="0.2">
      <c r="AJ145" s="42">
        <f t="shared" si="21"/>
        <v>137</v>
      </c>
      <c r="AK145" s="64">
        <f>'Disc Fact Paid Loss'!AK145</f>
        <v>1.2215213557139099E-3</v>
      </c>
      <c r="AL145" s="19"/>
      <c r="AM145" s="17"/>
      <c r="AN145" s="369">
        <f>'Disc Fact Paid Loss'!AN145</f>
        <v>58257</v>
      </c>
      <c r="AO145" s="370">
        <f>'Disc Fact Paid Loss'!AO145</f>
        <v>58348</v>
      </c>
      <c r="AP145" s="372">
        <f>'Disc Fact Paid Loss'!AP145</f>
        <v>1.2215213557139099E-3</v>
      </c>
    </row>
    <row r="146" spans="36:42" ht="15" customHeight="1" x14ac:dyDescent="0.2">
      <c r="AJ146" s="42">
        <f t="shared" si="21"/>
        <v>138</v>
      </c>
      <c r="AK146" s="64">
        <f>'Disc Fact Paid Loss'!AK146</f>
        <v>1.2280886748306512E-3</v>
      </c>
      <c r="AL146" s="19"/>
      <c r="AM146" s="17"/>
      <c r="AN146" s="369">
        <f>'Disc Fact Paid Loss'!AN146</f>
        <v>58349</v>
      </c>
      <c r="AO146" s="370">
        <f>'Disc Fact Paid Loss'!AO146</f>
        <v>58440</v>
      </c>
      <c r="AP146" s="372">
        <f>'Disc Fact Paid Loss'!AP146</f>
        <v>1.2280886748306512E-3</v>
      </c>
    </row>
    <row r="147" spans="36:42" ht="15" customHeight="1" x14ac:dyDescent="0.2">
      <c r="AJ147" s="42">
        <f t="shared" si="21"/>
        <v>139</v>
      </c>
      <c r="AK147" s="64">
        <f>'Disc Fact Paid Loss'!AK147</f>
        <v>1.2215213557139099E-3</v>
      </c>
      <c r="AL147" s="19"/>
      <c r="AM147" s="17"/>
      <c r="AN147" s="369">
        <f>'Disc Fact Paid Loss'!AN147</f>
        <v>58441</v>
      </c>
      <c r="AO147" s="370">
        <f>'Disc Fact Paid Loss'!AO147</f>
        <v>58531</v>
      </c>
      <c r="AP147" s="372">
        <f>'Disc Fact Paid Loss'!AP147</f>
        <v>1.2215213557139099E-3</v>
      </c>
    </row>
    <row r="148" spans="36:42" ht="15" customHeight="1" x14ac:dyDescent="0.2">
      <c r="AJ148" s="42">
        <f t="shared" si="21"/>
        <v>140</v>
      </c>
      <c r="AK148" s="64">
        <f>'Disc Fact Paid Loss'!AK148</f>
        <v>1.2149540365971685E-3</v>
      </c>
      <c r="AL148" s="19"/>
      <c r="AM148" s="17"/>
      <c r="AN148" s="369">
        <f>'Disc Fact Paid Loss'!AN148</f>
        <v>58532</v>
      </c>
      <c r="AO148" s="370">
        <f>'Disc Fact Paid Loss'!AO148</f>
        <v>58622</v>
      </c>
      <c r="AP148" s="372">
        <f>'Disc Fact Paid Loss'!AP148</f>
        <v>1.2149540365971685E-3</v>
      </c>
    </row>
    <row r="149" spans="36:42" ht="15" customHeight="1" x14ac:dyDescent="0.2">
      <c r="AJ149" s="42">
        <f t="shared" si="21"/>
        <v>141</v>
      </c>
      <c r="AK149" s="64">
        <f>'Disc Fact Paid Loss'!AK149</f>
        <v>1.0643128655332445E-3</v>
      </c>
      <c r="AL149" s="19"/>
      <c r="AM149" s="17"/>
      <c r="AN149" s="369">
        <f>'Disc Fact Paid Loss'!AN149</f>
        <v>58623</v>
      </c>
      <c r="AO149" s="370">
        <f>'Disc Fact Paid Loss'!AO149</f>
        <v>58714</v>
      </c>
      <c r="AP149" s="372">
        <f>'Disc Fact Paid Loss'!AP149</f>
        <v>1.0643128655332445E-3</v>
      </c>
    </row>
    <row r="150" spans="36:42" ht="15" customHeight="1" x14ac:dyDescent="0.2">
      <c r="AJ150" s="42">
        <f t="shared" si="21"/>
        <v>142</v>
      </c>
      <c r="AK150" s="64">
        <f>'Disc Fact Paid Loss'!AK150</f>
        <v>8.0230709738254369E-4</v>
      </c>
      <c r="AL150" s="19"/>
      <c r="AM150" s="17"/>
      <c r="AN150" s="369">
        <f>'Disc Fact Paid Loss'!AN150</f>
        <v>58715</v>
      </c>
      <c r="AO150" s="370">
        <f>'Disc Fact Paid Loss'!AO150</f>
        <v>58806</v>
      </c>
      <c r="AP150" s="372">
        <f>'Disc Fact Paid Loss'!AP150</f>
        <v>8.0230709738254369E-4</v>
      </c>
    </row>
    <row r="151" spans="36:42" ht="15" customHeight="1" x14ac:dyDescent="0.2">
      <c r="AJ151" s="42">
        <f t="shared" si="21"/>
        <v>143</v>
      </c>
      <c r="AK151" s="64">
        <f>'Disc Fact Paid Loss'!AK151</f>
        <v>4.5761568382209446E-4</v>
      </c>
      <c r="AL151" s="19"/>
      <c r="AM151" s="17"/>
      <c r="AN151" s="369">
        <f>'Disc Fact Paid Loss'!AN151</f>
        <v>58807</v>
      </c>
      <c r="AO151" s="370">
        <f>'Disc Fact Paid Loss'!AO151</f>
        <v>58896</v>
      </c>
      <c r="AP151" s="372">
        <f>'Disc Fact Paid Loss'!AP151</f>
        <v>4.5761568382209446E-4</v>
      </c>
    </row>
    <row r="152" spans="36:42" ht="15" customHeight="1" x14ac:dyDescent="0.2">
      <c r="AJ152" s="42">
        <f t="shared" si="21"/>
        <v>144</v>
      </c>
      <c r="AK152" s="64">
        <f>'Disc Fact Paid Loss'!AK152</f>
        <v>1.5014364791220223E-4</v>
      </c>
      <c r="AL152" s="19"/>
      <c r="AM152" s="17"/>
      <c r="AN152" s="374">
        <f>'Disc Fact Paid Loss'!AN152</f>
        <v>58897</v>
      </c>
      <c r="AO152" s="375">
        <f>'Disc Fact Paid Loss'!AO152</f>
        <v>58987</v>
      </c>
      <c r="AP152" s="373">
        <f>'Disc Fact Paid Loss'!AP152</f>
        <v>1.5014364791220223E-4</v>
      </c>
    </row>
    <row r="153" spans="36:42" ht="15" customHeight="1" x14ac:dyDescent="0.2">
      <c r="AJ153" s="42">
        <f t="shared" si="21"/>
        <v>145</v>
      </c>
      <c r="AK153" s="64">
        <f>'Disc Fact Paid Loss'!AK153</f>
        <v>0</v>
      </c>
      <c r="AL153" s="19"/>
      <c r="AM153" s="17"/>
      <c r="AN153" s="17"/>
      <c r="AO153" s="17"/>
      <c r="AP153" s="20"/>
    </row>
    <row r="154" spans="36:42" ht="15" customHeight="1" x14ac:dyDescent="0.2">
      <c r="AJ154" s="42">
        <f t="shared" si="21"/>
        <v>146</v>
      </c>
      <c r="AK154" s="64">
        <f>'Disc Fact Paid Loss'!AK154</f>
        <v>0</v>
      </c>
      <c r="AL154" s="19"/>
      <c r="AM154" s="17"/>
      <c r="AN154" s="17"/>
      <c r="AO154" s="17"/>
      <c r="AP154" s="20"/>
    </row>
    <row r="155" spans="36:42" ht="15" customHeight="1" x14ac:dyDescent="0.2">
      <c r="AJ155" s="42">
        <f t="shared" si="21"/>
        <v>147</v>
      </c>
      <c r="AK155" s="64">
        <f>'Disc Fact Paid Loss'!AK155</f>
        <v>0</v>
      </c>
      <c r="AL155" s="19"/>
      <c r="AM155" s="17"/>
      <c r="AN155" s="17"/>
      <c r="AO155" s="17"/>
      <c r="AP155" s="20"/>
    </row>
    <row r="156" spans="36:42" ht="15" customHeight="1" x14ac:dyDescent="0.2">
      <c r="AJ156" s="42">
        <f t="shared" si="21"/>
        <v>148</v>
      </c>
      <c r="AK156" s="64">
        <f>'Disc Fact Paid Loss'!AK156</f>
        <v>0</v>
      </c>
      <c r="AL156" s="19"/>
      <c r="AM156" s="17"/>
      <c r="AN156" s="17"/>
      <c r="AO156" s="17"/>
      <c r="AP156" s="20"/>
    </row>
    <row r="157" spans="36:42" ht="15" customHeight="1" x14ac:dyDescent="0.2">
      <c r="AJ157" s="42">
        <f t="shared" si="21"/>
        <v>149</v>
      </c>
      <c r="AK157" s="64">
        <f>'Disc Fact Paid Loss'!AK157</f>
        <v>0</v>
      </c>
      <c r="AL157" s="19"/>
      <c r="AM157" s="17"/>
      <c r="AN157" s="17"/>
      <c r="AO157" s="17"/>
      <c r="AP157" s="20"/>
    </row>
    <row r="158" spans="36:42" ht="15" customHeight="1" x14ac:dyDescent="0.2">
      <c r="AJ158" s="42">
        <f t="shared" si="21"/>
        <v>150</v>
      </c>
      <c r="AK158" s="64">
        <f>'Disc Fact Paid Loss'!AK158</f>
        <v>0</v>
      </c>
      <c r="AL158" s="19"/>
      <c r="AM158" s="17"/>
      <c r="AN158" s="17"/>
      <c r="AO158" s="17"/>
      <c r="AP158" s="20"/>
    </row>
    <row r="159" spans="36:42" ht="15" customHeight="1" x14ac:dyDescent="0.2">
      <c r="AJ159" s="42">
        <f t="shared" si="21"/>
        <v>151</v>
      </c>
      <c r="AK159" s="64">
        <f>'Disc Fact Paid Loss'!AK159</f>
        <v>0</v>
      </c>
      <c r="AL159" s="19"/>
      <c r="AM159" s="17"/>
      <c r="AN159" s="17"/>
      <c r="AO159" s="17"/>
      <c r="AP159" s="20"/>
    </row>
    <row r="160" spans="36:42" ht="15" customHeight="1" x14ac:dyDescent="0.2">
      <c r="AJ160" s="42">
        <f t="shared" si="21"/>
        <v>152</v>
      </c>
      <c r="AK160" s="64">
        <f>'Disc Fact Paid Loss'!AK160</f>
        <v>0</v>
      </c>
      <c r="AL160" s="19"/>
      <c r="AM160" s="17"/>
      <c r="AN160" s="17"/>
      <c r="AO160" s="17"/>
      <c r="AP160" s="20"/>
    </row>
    <row r="161" spans="36:37" ht="15" customHeight="1" x14ac:dyDescent="0.2">
      <c r="AJ161" s="42">
        <f t="shared" si="21"/>
        <v>153</v>
      </c>
      <c r="AK161" s="64">
        <f>'Disc Fact Paid Loss'!AK161</f>
        <v>0</v>
      </c>
    </row>
    <row r="162" spans="36:37" ht="15" customHeight="1" x14ac:dyDescent="0.2">
      <c r="AJ162" s="42">
        <f t="shared" si="21"/>
        <v>154</v>
      </c>
      <c r="AK162" s="64">
        <f>'Disc Fact Paid Loss'!AK162</f>
        <v>0</v>
      </c>
    </row>
    <row r="163" spans="36:37" ht="15" customHeight="1" x14ac:dyDescent="0.2">
      <c r="AJ163" s="42">
        <f t="shared" si="21"/>
        <v>155</v>
      </c>
      <c r="AK163" s="64">
        <f>'Disc Fact Paid Loss'!AK163</f>
        <v>0</v>
      </c>
    </row>
    <row r="164" spans="36:37" ht="15" customHeight="1" x14ac:dyDescent="0.2">
      <c r="AJ164" s="42">
        <f t="shared" si="21"/>
        <v>156</v>
      </c>
      <c r="AK164" s="64">
        <f>'Disc Fact Paid Loss'!AK164</f>
        <v>0</v>
      </c>
    </row>
    <row r="165" spans="36:37" ht="15" customHeight="1" x14ac:dyDescent="0.2">
      <c r="AJ165" s="42">
        <f t="shared" si="21"/>
        <v>157</v>
      </c>
      <c r="AK165" s="64">
        <f>'Disc Fact Paid Loss'!AK165</f>
        <v>0</v>
      </c>
    </row>
    <row r="166" spans="36:37" ht="15" customHeight="1" x14ac:dyDescent="0.2">
      <c r="AJ166" s="42">
        <f t="shared" si="21"/>
        <v>158</v>
      </c>
      <c r="AK166" s="64">
        <f>'Disc Fact Paid Loss'!AK166</f>
        <v>0</v>
      </c>
    </row>
    <row r="167" spans="36:37" ht="15" customHeight="1" x14ac:dyDescent="0.2">
      <c r="AJ167" s="42">
        <f t="shared" si="21"/>
        <v>159</v>
      </c>
      <c r="AK167" s="64">
        <f>'Disc Fact Paid Loss'!AK167</f>
        <v>0</v>
      </c>
    </row>
    <row r="168" spans="36:37" ht="15" customHeight="1" x14ac:dyDescent="0.2">
      <c r="AJ168" s="42">
        <f t="shared" si="21"/>
        <v>160</v>
      </c>
      <c r="AK168" s="64">
        <f>'Disc Fact Paid Loss'!AK168</f>
        <v>0</v>
      </c>
    </row>
    <row r="169" spans="36:37" ht="15" customHeight="1" x14ac:dyDescent="0.2">
      <c r="AJ169" s="42">
        <f t="shared" si="21"/>
        <v>161</v>
      </c>
      <c r="AK169" s="64">
        <f>'Disc Fact Paid Loss'!AK169</f>
        <v>0</v>
      </c>
    </row>
    <row r="170" spans="36:37" ht="15" customHeight="1" x14ac:dyDescent="0.2">
      <c r="AJ170" s="42">
        <f t="shared" si="21"/>
        <v>162</v>
      </c>
      <c r="AK170" s="64">
        <f>'Disc Fact Paid Loss'!AK170</f>
        <v>0</v>
      </c>
    </row>
    <row r="171" spans="36:37" ht="15" customHeight="1" x14ac:dyDescent="0.2">
      <c r="AJ171" s="42">
        <f t="shared" si="21"/>
        <v>163</v>
      </c>
      <c r="AK171" s="64">
        <f>'Disc Fact Paid Loss'!AK171</f>
        <v>0</v>
      </c>
    </row>
    <row r="172" spans="36:37" ht="15" customHeight="1" x14ac:dyDescent="0.2">
      <c r="AJ172" s="42">
        <f t="shared" si="21"/>
        <v>164</v>
      </c>
      <c r="AK172" s="64">
        <f>'Disc Fact Paid Loss'!AK172</f>
        <v>0</v>
      </c>
    </row>
    <row r="173" spans="36:37" ht="15" customHeight="1" x14ac:dyDescent="0.2">
      <c r="AJ173" s="42">
        <f t="shared" si="21"/>
        <v>165</v>
      </c>
      <c r="AK173" s="64">
        <f>'Disc Fact Paid Loss'!AK173</f>
        <v>0</v>
      </c>
    </row>
    <row r="174" spans="36:37" ht="15" customHeight="1" x14ac:dyDescent="0.2">
      <c r="AJ174" s="42">
        <f t="shared" si="21"/>
        <v>166</v>
      </c>
      <c r="AK174" s="64">
        <f>'Disc Fact Paid Loss'!AK174</f>
        <v>0</v>
      </c>
    </row>
    <row r="175" spans="36:37" ht="15" customHeight="1" x14ac:dyDescent="0.2">
      <c r="AJ175" s="42">
        <f t="shared" si="21"/>
        <v>167</v>
      </c>
      <c r="AK175" s="64">
        <f>'Disc Fact Paid Loss'!AK175</f>
        <v>0</v>
      </c>
    </row>
    <row r="176" spans="36:37" ht="15" customHeight="1" x14ac:dyDescent="0.2">
      <c r="AJ176" s="42">
        <f t="shared" si="21"/>
        <v>168</v>
      </c>
      <c r="AK176" s="64">
        <f>'Disc Fact Paid Loss'!AK176</f>
        <v>0</v>
      </c>
    </row>
    <row r="177" spans="36:37" ht="15" customHeight="1" x14ac:dyDescent="0.2">
      <c r="AJ177" s="42">
        <f t="shared" si="21"/>
        <v>169</v>
      </c>
      <c r="AK177" s="64">
        <f>'Disc Fact Paid Loss'!AK177</f>
        <v>0</v>
      </c>
    </row>
    <row r="178" spans="36:37" ht="15" customHeight="1" x14ac:dyDescent="0.2">
      <c r="AJ178" s="42">
        <f t="shared" si="21"/>
        <v>170</v>
      </c>
      <c r="AK178" s="64">
        <f>'Disc Fact Paid Loss'!AK178</f>
        <v>0</v>
      </c>
    </row>
    <row r="179" spans="36:37" ht="15" customHeight="1" x14ac:dyDescent="0.2">
      <c r="AJ179" s="42">
        <f t="shared" si="21"/>
        <v>171</v>
      </c>
      <c r="AK179" s="64">
        <f>'Disc Fact Paid Loss'!AK179</f>
        <v>0</v>
      </c>
    </row>
    <row r="180" spans="36:37" ht="15" customHeight="1" x14ac:dyDescent="0.2">
      <c r="AJ180" s="42">
        <f t="shared" si="21"/>
        <v>172</v>
      </c>
      <c r="AK180" s="64">
        <f>'Disc Fact Paid Loss'!AK180</f>
        <v>0</v>
      </c>
    </row>
    <row r="181" spans="36:37" ht="15" customHeight="1" x14ac:dyDescent="0.2">
      <c r="AJ181" s="42">
        <f t="shared" si="21"/>
        <v>173</v>
      </c>
      <c r="AK181" s="64">
        <f>'Disc Fact Paid Loss'!AK181</f>
        <v>0</v>
      </c>
    </row>
    <row r="182" spans="36:37" ht="15" customHeight="1" x14ac:dyDescent="0.2">
      <c r="AJ182" s="42">
        <f t="shared" si="21"/>
        <v>174</v>
      </c>
      <c r="AK182" s="64">
        <f>'Disc Fact Paid Loss'!AK182</f>
        <v>0</v>
      </c>
    </row>
    <row r="183" spans="36:37" ht="15" customHeight="1" x14ac:dyDescent="0.2">
      <c r="AJ183" s="42">
        <f t="shared" si="21"/>
        <v>175</v>
      </c>
      <c r="AK183" s="64">
        <f>'Disc Fact Paid Loss'!AK183</f>
        <v>0</v>
      </c>
    </row>
    <row r="184" spans="36:37" ht="15" customHeight="1" x14ac:dyDescent="0.2">
      <c r="AJ184" s="42">
        <f t="shared" si="21"/>
        <v>176</v>
      </c>
      <c r="AK184" s="64">
        <f>'Disc Fact Paid Loss'!AK184</f>
        <v>0</v>
      </c>
    </row>
    <row r="185" spans="36:37" ht="15" customHeight="1" x14ac:dyDescent="0.2">
      <c r="AJ185" s="42">
        <f t="shared" si="21"/>
        <v>177</v>
      </c>
      <c r="AK185" s="64">
        <f>'Disc Fact Paid Loss'!AK185</f>
        <v>0</v>
      </c>
    </row>
    <row r="186" spans="36:37" ht="15" customHeight="1" x14ac:dyDescent="0.2">
      <c r="AJ186" s="42">
        <f t="shared" si="21"/>
        <v>178</v>
      </c>
      <c r="AK186" s="64">
        <f>'Disc Fact Paid Loss'!AK186</f>
        <v>0</v>
      </c>
    </row>
    <row r="187" spans="36:37" ht="15" customHeight="1" x14ac:dyDescent="0.2">
      <c r="AJ187" s="42">
        <f t="shared" si="21"/>
        <v>179</v>
      </c>
      <c r="AK187" s="64">
        <f>'Disc Fact Paid Loss'!AK187</f>
        <v>0</v>
      </c>
    </row>
    <row r="188" spans="36:37" ht="15" customHeight="1" x14ac:dyDescent="0.2">
      <c r="AJ188" s="42">
        <f t="shared" si="21"/>
        <v>180</v>
      </c>
      <c r="AK188" s="64">
        <f>'Disc Fact Paid Loss'!AK188</f>
        <v>0</v>
      </c>
    </row>
    <row r="189" spans="36:37" ht="15" customHeight="1" x14ac:dyDescent="0.2">
      <c r="AJ189" s="42">
        <f t="shared" si="21"/>
        <v>181</v>
      </c>
      <c r="AK189" s="64">
        <f>'Disc Fact Paid Loss'!AK189</f>
        <v>0</v>
      </c>
    </row>
    <row r="190" spans="36:37" ht="15" customHeight="1" x14ac:dyDescent="0.2">
      <c r="AJ190" s="42">
        <f t="shared" si="21"/>
        <v>182</v>
      </c>
      <c r="AK190" s="64">
        <f>'Disc Fact Paid Loss'!AK190</f>
        <v>0</v>
      </c>
    </row>
    <row r="191" spans="36:37" ht="15" customHeight="1" x14ac:dyDescent="0.2">
      <c r="AJ191" s="42">
        <f t="shared" si="21"/>
        <v>183</v>
      </c>
      <c r="AK191" s="64">
        <f>'Disc Fact Paid Loss'!AK191</f>
        <v>0</v>
      </c>
    </row>
    <row r="192" spans="36:37" ht="15" customHeight="1" x14ac:dyDescent="0.2">
      <c r="AJ192" s="42">
        <f t="shared" si="21"/>
        <v>184</v>
      </c>
      <c r="AK192" s="64">
        <f>'Disc Fact Paid Loss'!AK192</f>
        <v>0</v>
      </c>
    </row>
    <row r="193" spans="36:37" ht="15" customHeight="1" x14ac:dyDescent="0.2">
      <c r="AJ193" s="42">
        <f t="shared" si="21"/>
        <v>185</v>
      </c>
      <c r="AK193" s="64">
        <f>'Disc Fact Paid Loss'!AK193</f>
        <v>0</v>
      </c>
    </row>
    <row r="194" spans="36:37" ht="15" customHeight="1" x14ac:dyDescent="0.2">
      <c r="AJ194" s="42">
        <f t="shared" si="21"/>
        <v>186</v>
      </c>
      <c r="AK194" s="64">
        <f>'Disc Fact Paid Loss'!AK194</f>
        <v>0</v>
      </c>
    </row>
    <row r="195" spans="36:37" ht="15" customHeight="1" x14ac:dyDescent="0.2">
      <c r="AJ195" s="42">
        <f t="shared" si="21"/>
        <v>187</v>
      </c>
      <c r="AK195" s="64">
        <f>'Disc Fact Paid Loss'!AK195</f>
        <v>0</v>
      </c>
    </row>
    <row r="196" spans="36:37" ht="15" customHeight="1" x14ac:dyDescent="0.2">
      <c r="AJ196" s="42">
        <f t="shared" si="21"/>
        <v>188</v>
      </c>
      <c r="AK196" s="64">
        <f>'Disc Fact Paid Loss'!AK196</f>
        <v>0</v>
      </c>
    </row>
    <row r="197" spans="36:37" ht="15" customHeight="1" x14ac:dyDescent="0.2">
      <c r="AJ197" s="42">
        <f t="shared" si="21"/>
        <v>189</v>
      </c>
      <c r="AK197" s="64">
        <f>'Disc Fact Paid Loss'!AK197</f>
        <v>0</v>
      </c>
    </row>
    <row r="198" spans="36:37" ht="15" customHeight="1" x14ac:dyDescent="0.2">
      <c r="AJ198" s="42">
        <f t="shared" si="21"/>
        <v>190</v>
      </c>
      <c r="AK198" s="64">
        <f>'Disc Fact Paid Loss'!AK198</f>
        <v>0</v>
      </c>
    </row>
    <row r="199" spans="36:37" ht="15" customHeight="1" x14ac:dyDescent="0.2">
      <c r="AJ199" s="42">
        <f t="shared" si="21"/>
        <v>191</v>
      </c>
      <c r="AK199" s="64">
        <f>'Disc Fact Paid Loss'!AK199</f>
        <v>0</v>
      </c>
    </row>
    <row r="200" spans="36:37" ht="15" customHeight="1" x14ac:dyDescent="0.2">
      <c r="AJ200" s="42">
        <f t="shared" si="21"/>
        <v>192</v>
      </c>
      <c r="AK200" s="64">
        <f>'Disc Fact Paid Loss'!AK200</f>
        <v>0</v>
      </c>
    </row>
    <row r="201" spans="36:37" ht="15" customHeight="1" x14ac:dyDescent="0.2">
      <c r="AJ201" s="42">
        <f t="shared" si="21"/>
        <v>193</v>
      </c>
      <c r="AK201" s="64">
        <f>'Disc Fact Paid Loss'!AK201</f>
        <v>0</v>
      </c>
    </row>
    <row r="202" spans="36:37" ht="15" customHeight="1" x14ac:dyDescent="0.2">
      <c r="AJ202" s="42">
        <f t="shared" ref="AJ202:AJ265" si="22">AJ201+1</f>
        <v>194</v>
      </c>
      <c r="AK202" s="64">
        <f>'Disc Fact Paid Loss'!AK202</f>
        <v>0</v>
      </c>
    </row>
    <row r="203" spans="36:37" ht="15" customHeight="1" x14ac:dyDescent="0.2">
      <c r="AJ203" s="42">
        <f t="shared" si="22"/>
        <v>195</v>
      </c>
      <c r="AK203" s="64">
        <f>'Disc Fact Paid Loss'!AK203</f>
        <v>0</v>
      </c>
    </row>
    <row r="204" spans="36:37" ht="15" customHeight="1" x14ac:dyDescent="0.2">
      <c r="AJ204" s="42">
        <f t="shared" si="22"/>
        <v>196</v>
      </c>
      <c r="AK204" s="64">
        <f>'Disc Fact Paid Loss'!AK204</f>
        <v>0</v>
      </c>
    </row>
    <row r="205" spans="36:37" ht="15" customHeight="1" x14ac:dyDescent="0.2">
      <c r="AJ205" s="42">
        <f t="shared" si="22"/>
        <v>197</v>
      </c>
      <c r="AK205" s="64">
        <f>'Disc Fact Paid Loss'!AK205</f>
        <v>0</v>
      </c>
    </row>
    <row r="206" spans="36:37" ht="15" customHeight="1" x14ac:dyDescent="0.2">
      <c r="AJ206" s="42">
        <f t="shared" si="22"/>
        <v>198</v>
      </c>
      <c r="AK206" s="64">
        <f>'Disc Fact Paid Loss'!AK206</f>
        <v>0</v>
      </c>
    </row>
    <row r="207" spans="36:37" ht="15" customHeight="1" x14ac:dyDescent="0.2">
      <c r="AJ207" s="42">
        <f t="shared" si="22"/>
        <v>199</v>
      </c>
      <c r="AK207" s="64">
        <f>'Disc Fact Paid Loss'!AK207</f>
        <v>0</v>
      </c>
    </row>
    <row r="208" spans="36:37" ht="15" customHeight="1" x14ac:dyDescent="0.2">
      <c r="AJ208" s="42">
        <f t="shared" si="22"/>
        <v>200</v>
      </c>
      <c r="AK208" s="64">
        <f>'Disc Fact Paid Loss'!AK208</f>
        <v>0</v>
      </c>
    </row>
    <row r="209" spans="36:37" ht="15" customHeight="1" x14ac:dyDescent="0.2">
      <c r="AJ209" s="42">
        <f t="shared" si="22"/>
        <v>201</v>
      </c>
      <c r="AK209" s="64">
        <f>'Disc Fact Paid Loss'!AK209</f>
        <v>0</v>
      </c>
    </row>
    <row r="210" spans="36:37" ht="15" customHeight="1" x14ac:dyDescent="0.2">
      <c r="AJ210" s="42">
        <f t="shared" si="22"/>
        <v>202</v>
      </c>
      <c r="AK210" s="64">
        <f>'Disc Fact Paid Loss'!AK210</f>
        <v>0</v>
      </c>
    </row>
    <row r="211" spans="36:37" ht="15" customHeight="1" x14ac:dyDescent="0.2">
      <c r="AJ211" s="42">
        <f t="shared" si="22"/>
        <v>203</v>
      </c>
      <c r="AK211" s="64">
        <f>'Disc Fact Paid Loss'!AK211</f>
        <v>0</v>
      </c>
    </row>
    <row r="212" spans="36:37" ht="15" customHeight="1" x14ac:dyDescent="0.2">
      <c r="AJ212" s="42">
        <f t="shared" si="22"/>
        <v>204</v>
      </c>
      <c r="AK212" s="64">
        <f>'Disc Fact Paid Loss'!AK212</f>
        <v>0</v>
      </c>
    </row>
    <row r="213" spans="36:37" ht="15" customHeight="1" x14ac:dyDescent="0.2">
      <c r="AJ213" s="42">
        <f t="shared" si="22"/>
        <v>205</v>
      </c>
      <c r="AK213" s="64">
        <f>'Disc Fact Paid Loss'!AK213</f>
        <v>0</v>
      </c>
    </row>
    <row r="214" spans="36:37" ht="15" customHeight="1" x14ac:dyDescent="0.2">
      <c r="AJ214" s="42">
        <f t="shared" si="22"/>
        <v>206</v>
      </c>
      <c r="AK214" s="64">
        <f>'Disc Fact Paid Loss'!AK214</f>
        <v>0</v>
      </c>
    </row>
    <row r="215" spans="36:37" ht="15" customHeight="1" x14ac:dyDescent="0.2">
      <c r="AJ215" s="42">
        <f t="shared" si="22"/>
        <v>207</v>
      </c>
      <c r="AK215" s="64">
        <f>'Disc Fact Paid Loss'!AK215</f>
        <v>0</v>
      </c>
    </row>
    <row r="216" spans="36:37" ht="15" customHeight="1" x14ac:dyDescent="0.2">
      <c r="AJ216" s="42">
        <f t="shared" si="22"/>
        <v>208</v>
      </c>
      <c r="AK216" s="64">
        <f>'Disc Fact Paid Loss'!AK216</f>
        <v>0</v>
      </c>
    </row>
    <row r="217" spans="36:37" ht="15" customHeight="1" x14ac:dyDescent="0.2">
      <c r="AJ217" s="42">
        <f t="shared" si="22"/>
        <v>209</v>
      </c>
      <c r="AK217" s="64">
        <f>'Disc Fact Paid Loss'!AK217</f>
        <v>0</v>
      </c>
    </row>
    <row r="218" spans="36:37" ht="15" customHeight="1" x14ac:dyDescent="0.2">
      <c r="AJ218" s="42">
        <f t="shared" si="22"/>
        <v>210</v>
      </c>
      <c r="AK218" s="64">
        <f>'Disc Fact Paid Loss'!AK218</f>
        <v>0</v>
      </c>
    </row>
    <row r="219" spans="36:37" ht="15" customHeight="1" x14ac:dyDescent="0.2">
      <c r="AJ219" s="42">
        <f t="shared" si="22"/>
        <v>211</v>
      </c>
      <c r="AK219" s="64">
        <f>'Disc Fact Paid Loss'!AK219</f>
        <v>0</v>
      </c>
    </row>
    <row r="220" spans="36:37" ht="15" customHeight="1" x14ac:dyDescent="0.2">
      <c r="AJ220" s="42">
        <f t="shared" si="22"/>
        <v>212</v>
      </c>
      <c r="AK220" s="64">
        <f>'Disc Fact Paid Loss'!AK220</f>
        <v>0</v>
      </c>
    </row>
    <row r="221" spans="36:37" ht="15" customHeight="1" x14ac:dyDescent="0.2">
      <c r="AJ221" s="42">
        <f t="shared" si="22"/>
        <v>213</v>
      </c>
      <c r="AK221" s="64">
        <f>'Disc Fact Paid Loss'!AK221</f>
        <v>0</v>
      </c>
    </row>
    <row r="222" spans="36:37" ht="15" customHeight="1" x14ac:dyDescent="0.2">
      <c r="AJ222" s="42">
        <f t="shared" si="22"/>
        <v>214</v>
      </c>
      <c r="AK222" s="64">
        <f>'Disc Fact Paid Loss'!AK222</f>
        <v>0</v>
      </c>
    </row>
    <row r="223" spans="36:37" ht="15" customHeight="1" x14ac:dyDescent="0.2">
      <c r="AJ223" s="42">
        <f t="shared" si="22"/>
        <v>215</v>
      </c>
      <c r="AK223" s="64">
        <f>'Disc Fact Paid Loss'!AK223</f>
        <v>0</v>
      </c>
    </row>
    <row r="224" spans="36:37" ht="15" customHeight="1" x14ac:dyDescent="0.2">
      <c r="AJ224" s="42">
        <f t="shared" si="22"/>
        <v>216</v>
      </c>
      <c r="AK224" s="64">
        <f>'Disc Fact Paid Loss'!AK224</f>
        <v>0</v>
      </c>
    </row>
    <row r="225" spans="36:37" ht="15" customHeight="1" x14ac:dyDescent="0.2">
      <c r="AJ225" s="42">
        <f t="shared" si="22"/>
        <v>217</v>
      </c>
      <c r="AK225" s="64">
        <f>'Disc Fact Paid Loss'!AK225</f>
        <v>0</v>
      </c>
    </row>
    <row r="226" spans="36:37" ht="15" customHeight="1" x14ac:dyDescent="0.2">
      <c r="AJ226" s="42">
        <f t="shared" si="22"/>
        <v>218</v>
      </c>
      <c r="AK226" s="64">
        <f>'Disc Fact Paid Loss'!AK226</f>
        <v>0</v>
      </c>
    </row>
    <row r="227" spans="36:37" ht="15" customHeight="1" x14ac:dyDescent="0.2">
      <c r="AJ227" s="42">
        <f t="shared" si="22"/>
        <v>219</v>
      </c>
      <c r="AK227" s="64">
        <f>'Disc Fact Paid Loss'!AK227</f>
        <v>0</v>
      </c>
    </row>
    <row r="228" spans="36:37" ht="15" customHeight="1" x14ac:dyDescent="0.2">
      <c r="AJ228" s="42">
        <f t="shared" si="22"/>
        <v>220</v>
      </c>
      <c r="AK228" s="64">
        <f>'Disc Fact Paid Loss'!AK228</f>
        <v>0</v>
      </c>
    </row>
    <row r="229" spans="36:37" ht="15" customHeight="1" x14ac:dyDescent="0.2">
      <c r="AJ229" s="42">
        <f t="shared" si="22"/>
        <v>221</v>
      </c>
      <c r="AK229" s="64">
        <f>'Disc Fact Paid Loss'!AK229</f>
        <v>0</v>
      </c>
    </row>
    <row r="230" spans="36:37" ht="15" customHeight="1" x14ac:dyDescent="0.2">
      <c r="AJ230" s="42">
        <f t="shared" si="22"/>
        <v>222</v>
      </c>
      <c r="AK230" s="64">
        <f>'Disc Fact Paid Loss'!AK230</f>
        <v>0</v>
      </c>
    </row>
    <row r="231" spans="36:37" ht="15" customHeight="1" x14ac:dyDescent="0.2">
      <c r="AJ231" s="42">
        <f t="shared" si="22"/>
        <v>223</v>
      </c>
      <c r="AK231" s="64">
        <f>'Disc Fact Paid Loss'!AK231</f>
        <v>0</v>
      </c>
    </row>
    <row r="232" spans="36:37" ht="15" customHeight="1" x14ac:dyDescent="0.2">
      <c r="AJ232" s="42">
        <f t="shared" si="22"/>
        <v>224</v>
      </c>
      <c r="AK232" s="64">
        <f>'Disc Fact Paid Loss'!AK232</f>
        <v>0</v>
      </c>
    </row>
    <row r="233" spans="36:37" ht="15" customHeight="1" x14ac:dyDescent="0.2">
      <c r="AJ233" s="42">
        <f t="shared" si="22"/>
        <v>225</v>
      </c>
      <c r="AK233" s="64">
        <f>'Disc Fact Paid Loss'!AK233</f>
        <v>0</v>
      </c>
    </row>
    <row r="234" spans="36:37" ht="15" customHeight="1" x14ac:dyDescent="0.2">
      <c r="AJ234" s="42">
        <f t="shared" si="22"/>
        <v>226</v>
      </c>
      <c r="AK234" s="64">
        <f>'Disc Fact Paid Loss'!AK234</f>
        <v>0</v>
      </c>
    </row>
    <row r="235" spans="36:37" ht="15" customHeight="1" x14ac:dyDescent="0.2">
      <c r="AJ235" s="42">
        <f t="shared" si="22"/>
        <v>227</v>
      </c>
      <c r="AK235" s="64">
        <f>'Disc Fact Paid Loss'!AK235</f>
        <v>0</v>
      </c>
    </row>
    <row r="236" spans="36:37" ht="15" customHeight="1" x14ac:dyDescent="0.2">
      <c r="AJ236" s="42">
        <f t="shared" si="22"/>
        <v>228</v>
      </c>
      <c r="AK236" s="64">
        <f>'Disc Fact Paid Loss'!AK236</f>
        <v>0</v>
      </c>
    </row>
    <row r="237" spans="36:37" ht="15" customHeight="1" x14ac:dyDescent="0.2">
      <c r="AJ237" s="42">
        <f t="shared" si="22"/>
        <v>229</v>
      </c>
      <c r="AK237" s="64">
        <f>'Disc Fact Paid Loss'!AK237</f>
        <v>0</v>
      </c>
    </row>
    <row r="238" spans="36:37" ht="15" customHeight="1" x14ac:dyDescent="0.2">
      <c r="AJ238" s="42">
        <f t="shared" si="22"/>
        <v>230</v>
      </c>
      <c r="AK238" s="64">
        <f>'Disc Fact Paid Loss'!AK238</f>
        <v>0</v>
      </c>
    </row>
    <row r="239" spans="36:37" ht="15" customHeight="1" x14ac:dyDescent="0.2">
      <c r="AJ239" s="42">
        <f t="shared" si="22"/>
        <v>231</v>
      </c>
      <c r="AK239" s="64">
        <f>'Disc Fact Paid Loss'!AK239</f>
        <v>0</v>
      </c>
    </row>
    <row r="240" spans="36:37" ht="15" customHeight="1" x14ac:dyDescent="0.2">
      <c r="AJ240" s="42">
        <f t="shared" si="22"/>
        <v>232</v>
      </c>
      <c r="AK240" s="64">
        <f>'Disc Fact Paid Loss'!AK240</f>
        <v>0</v>
      </c>
    </row>
    <row r="241" spans="36:37" ht="15" customHeight="1" x14ac:dyDescent="0.2">
      <c r="AJ241" s="42">
        <f t="shared" si="22"/>
        <v>233</v>
      </c>
      <c r="AK241" s="64">
        <f>'Disc Fact Paid Loss'!AK241</f>
        <v>0</v>
      </c>
    </row>
    <row r="242" spans="36:37" ht="15" customHeight="1" x14ac:dyDescent="0.2">
      <c r="AJ242" s="42">
        <f t="shared" si="22"/>
        <v>234</v>
      </c>
      <c r="AK242" s="64">
        <f>'Disc Fact Paid Loss'!AK242</f>
        <v>0</v>
      </c>
    </row>
    <row r="243" spans="36:37" ht="15" customHeight="1" x14ac:dyDescent="0.2">
      <c r="AJ243" s="42">
        <f t="shared" si="22"/>
        <v>235</v>
      </c>
      <c r="AK243" s="64">
        <f>'Disc Fact Paid Loss'!AK243</f>
        <v>0</v>
      </c>
    </row>
    <row r="244" spans="36:37" ht="15" customHeight="1" x14ac:dyDescent="0.2">
      <c r="AJ244" s="42">
        <f t="shared" si="22"/>
        <v>236</v>
      </c>
      <c r="AK244" s="64">
        <f>'Disc Fact Paid Loss'!AK244</f>
        <v>0</v>
      </c>
    </row>
    <row r="245" spans="36:37" ht="15" customHeight="1" x14ac:dyDescent="0.2">
      <c r="AJ245" s="42">
        <f t="shared" si="22"/>
        <v>237</v>
      </c>
      <c r="AK245" s="64">
        <f>'Disc Fact Paid Loss'!AK245</f>
        <v>0</v>
      </c>
    </row>
    <row r="246" spans="36:37" ht="15" customHeight="1" x14ac:dyDescent="0.2">
      <c r="AJ246" s="42">
        <f t="shared" si="22"/>
        <v>238</v>
      </c>
      <c r="AK246" s="64">
        <f>'Disc Fact Paid Loss'!AK246</f>
        <v>0</v>
      </c>
    </row>
    <row r="247" spans="36:37" ht="15" customHeight="1" x14ac:dyDescent="0.2">
      <c r="AJ247" s="42">
        <f t="shared" si="22"/>
        <v>239</v>
      </c>
      <c r="AK247" s="64">
        <f>'Disc Fact Paid Loss'!AK247</f>
        <v>0</v>
      </c>
    </row>
    <row r="248" spans="36:37" ht="15" customHeight="1" x14ac:dyDescent="0.2">
      <c r="AJ248" s="42">
        <f t="shared" si="22"/>
        <v>240</v>
      </c>
      <c r="AK248" s="64">
        <f>'Disc Fact Paid Loss'!AK248</f>
        <v>0</v>
      </c>
    </row>
    <row r="249" spans="36:37" ht="15" customHeight="1" x14ac:dyDescent="0.2">
      <c r="AJ249" s="42">
        <f t="shared" si="22"/>
        <v>241</v>
      </c>
      <c r="AK249" s="64">
        <f>'Disc Fact Paid Loss'!AK249</f>
        <v>0</v>
      </c>
    </row>
    <row r="250" spans="36:37" ht="15" customHeight="1" x14ac:dyDescent="0.2">
      <c r="AJ250" s="42">
        <f t="shared" si="22"/>
        <v>242</v>
      </c>
      <c r="AK250" s="64">
        <f>'Disc Fact Paid Loss'!AK250</f>
        <v>0</v>
      </c>
    </row>
    <row r="251" spans="36:37" ht="15" customHeight="1" x14ac:dyDescent="0.2">
      <c r="AJ251" s="42">
        <f t="shared" si="22"/>
        <v>243</v>
      </c>
      <c r="AK251" s="64">
        <f>'Disc Fact Paid Loss'!AK251</f>
        <v>0</v>
      </c>
    </row>
    <row r="252" spans="36:37" ht="15" customHeight="1" x14ac:dyDescent="0.2">
      <c r="AJ252" s="42">
        <f t="shared" si="22"/>
        <v>244</v>
      </c>
      <c r="AK252" s="64">
        <f>'Disc Fact Paid Loss'!AK252</f>
        <v>0</v>
      </c>
    </row>
    <row r="253" spans="36:37" ht="15" customHeight="1" x14ac:dyDescent="0.2">
      <c r="AJ253" s="42">
        <f t="shared" si="22"/>
        <v>245</v>
      </c>
      <c r="AK253" s="64">
        <f>'Disc Fact Paid Loss'!AK253</f>
        <v>0</v>
      </c>
    </row>
    <row r="254" spans="36:37" ht="15" customHeight="1" x14ac:dyDescent="0.2">
      <c r="AJ254" s="42">
        <f t="shared" si="22"/>
        <v>246</v>
      </c>
      <c r="AK254" s="64">
        <f>'Disc Fact Paid Loss'!AK254</f>
        <v>0</v>
      </c>
    </row>
    <row r="255" spans="36:37" ht="15" customHeight="1" x14ac:dyDescent="0.2">
      <c r="AJ255" s="42">
        <f t="shared" si="22"/>
        <v>247</v>
      </c>
      <c r="AK255" s="64">
        <f>'Disc Fact Paid Loss'!AK255</f>
        <v>0</v>
      </c>
    </row>
    <row r="256" spans="36:37" ht="15" customHeight="1" x14ac:dyDescent="0.2">
      <c r="AJ256" s="42">
        <f t="shared" si="22"/>
        <v>248</v>
      </c>
      <c r="AK256" s="64">
        <f>'Disc Fact Paid Loss'!AK256</f>
        <v>0</v>
      </c>
    </row>
    <row r="257" spans="36:37" ht="15" customHeight="1" x14ac:dyDescent="0.2">
      <c r="AJ257" s="42">
        <f t="shared" si="22"/>
        <v>249</v>
      </c>
      <c r="AK257" s="64">
        <f>'Disc Fact Paid Loss'!AK257</f>
        <v>0</v>
      </c>
    </row>
    <row r="258" spans="36:37" ht="15" customHeight="1" x14ac:dyDescent="0.2">
      <c r="AJ258" s="42">
        <f t="shared" si="22"/>
        <v>250</v>
      </c>
      <c r="AK258" s="64">
        <f>'Disc Fact Paid Loss'!AK258</f>
        <v>0</v>
      </c>
    </row>
    <row r="259" spans="36:37" ht="15" customHeight="1" x14ac:dyDescent="0.2">
      <c r="AJ259" s="42">
        <f t="shared" si="22"/>
        <v>251</v>
      </c>
      <c r="AK259" s="64">
        <f>'Disc Fact Paid Loss'!AK259</f>
        <v>0</v>
      </c>
    </row>
    <row r="260" spans="36:37" ht="15" customHeight="1" x14ac:dyDescent="0.2">
      <c r="AJ260" s="42">
        <f t="shared" si="22"/>
        <v>252</v>
      </c>
      <c r="AK260" s="64">
        <f>'Disc Fact Paid Loss'!AK260</f>
        <v>0</v>
      </c>
    </row>
    <row r="261" spans="36:37" ht="15" customHeight="1" x14ac:dyDescent="0.2">
      <c r="AJ261" s="42">
        <f t="shared" si="22"/>
        <v>253</v>
      </c>
      <c r="AK261" s="64">
        <f>'Disc Fact Paid Loss'!AK261</f>
        <v>0</v>
      </c>
    </row>
    <row r="262" spans="36:37" ht="15" customHeight="1" x14ac:dyDescent="0.2">
      <c r="AJ262" s="42">
        <f t="shared" si="22"/>
        <v>254</v>
      </c>
      <c r="AK262" s="64">
        <f>'Disc Fact Paid Loss'!AK262</f>
        <v>0</v>
      </c>
    </row>
    <row r="263" spans="36:37" ht="15" customHeight="1" x14ac:dyDescent="0.2">
      <c r="AJ263" s="42">
        <f t="shared" si="22"/>
        <v>255</v>
      </c>
      <c r="AK263" s="64">
        <f>'Disc Fact Paid Loss'!AK263</f>
        <v>0</v>
      </c>
    </row>
    <row r="264" spans="36:37" ht="15" customHeight="1" x14ac:dyDescent="0.2">
      <c r="AJ264" s="42">
        <f t="shared" si="22"/>
        <v>256</v>
      </c>
      <c r="AK264" s="64">
        <f>'Disc Fact Paid Loss'!AK264</f>
        <v>0</v>
      </c>
    </row>
    <row r="265" spans="36:37" ht="15" customHeight="1" x14ac:dyDescent="0.2">
      <c r="AJ265" s="42">
        <f t="shared" si="22"/>
        <v>257</v>
      </c>
      <c r="AK265" s="64">
        <f>'Disc Fact Paid Loss'!AK265</f>
        <v>0</v>
      </c>
    </row>
    <row r="266" spans="36:37" ht="15" customHeight="1" x14ac:dyDescent="0.2">
      <c r="AJ266" s="42">
        <f t="shared" ref="AJ266:AJ329" si="23">AJ265+1</f>
        <v>258</v>
      </c>
      <c r="AK266" s="64">
        <f>'Disc Fact Paid Loss'!AK266</f>
        <v>0</v>
      </c>
    </row>
    <row r="267" spans="36:37" ht="15" customHeight="1" x14ac:dyDescent="0.2">
      <c r="AJ267" s="42">
        <f t="shared" si="23"/>
        <v>259</v>
      </c>
      <c r="AK267" s="64">
        <f>'Disc Fact Paid Loss'!AK267</f>
        <v>0</v>
      </c>
    </row>
    <row r="268" spans="36:37" ht="15" customHeight="1" x14ac:dyDescent="0.2">
      <c r="AJ268" s="42">
        <f t="shared" si="23"/>
        <v>260</v>
      </c>
      <c r="AK268" s="64">
        <f>'Disc Fact Paid Loss'!AK268</f>
        <v>0</v>
      </c>
    </row>
    <row r="269" spans="36:37" ht="15" customHeight="1" x14ac:dyDescent="0.2">
      <c r="AJ269" s="42">
        <f t="shared" si="23"/>
        <v>261</v>
      </c>
      <c r="AK269" s="64">
        <f>'Disc Fact Paid Loss'!AK269</f>
        <v>0</v>
      </c>
    </row>
    <row r="270" spans="36:37" ht="15" customHeight="1" x14ac:dyDescent="0.2">
      <c r="AJ270" s="42">
        <f t="shared" si="23"/>
        <v>262</v>
      </c>
      <c r="AK270" s="64">
        <f>'Disc Fact Paid Loss'!AK270</f>
        <v>0</v>
      </c>
    </row>
    <row r="271" spans="36:37" ht="15" customHeight="1" x14ac:dyDescent="0.2">
      <c r="AJ271" s="42">
        <f t="shared" si="23"/>
        <v>263</v>
      </c>
      <c r="AK271" s="64">
        <f>'Disc Fact Paid Loss'!AK271</f>
        <v>0</v>
      </c>
    </row>
    <row r="272" spans="36:37" ht="15" customHeight="1" x14ac:dyDescent="0.2">
      <c r="AJ272" s="42">
        <f t="shared" si="23"/>
        <v>264</v>
      </c>
      <c r="AK272" s="64">
        <f>'Disc Fact Paid Loss'!AK272</f>
        <v>0</v>
      </c>
    </row>
    <row r="273" spans="36:37" ht="15" customHeight="1" x14ac:dyDescent="0.2">
      <c r="AJ273" s="42">
        <f t="shared" si="23"/>
        <v>265</v>
      </c>
      <c r="AK273" s="64">
        <f>'Disc Fact Paid Loss'!AK273</f>
        <v>0</v>
      </c>
    </row>
    <row r="274" spans="36:37" ht="15" customHeight="1" x14ac:dyDescent="0.2">
      <c r="AJ274" s="42">
        <f t="shared" si="23"/>
        <v>266</v>
      </c>
      <c r="AK274" s="64">
        <f>'Disc Fact Paid Loss'!AK274</f>
        <v>0</v>
      </c>
    </row>
    <row r="275" spans="36:37" ht="15" customHeight="1" x14ac:dyDescent="0.2">
      <c r="AJ275" s="42">
        <f t="shared" si="23"/>
        <v>267</v>
      </c>
      <c r="AK275" s="64">
        <f>'Disc Fact Paid Loss'!AK275</f>
        <v>0</v>
      </c>
    </row>
    <row r="276" spans="36:37" ht="15" customHeight="1" x14ac:dyDescent="0.2">
      <c r="AJ276" s="42">
        <f t="shared" si="23"/>
        <v>268</v>
      </c>
      <c r="AK276" s="64">
        <f>'Disc Fact Paid Loss'!AK276</f>
        <v>0</v>
      </c>
    </row>
    <row r="277" spans="36:37" ht="15" customHeight="1" x14ac:dyDescent="0.2">
      <c r="AJ277" s="42">
        <f t="shared" si="23"/>
        <v>269</v>
      </c>
      <c r="AK277" s="64">
        <f>'Disc Fact Paid Loss'!AK277</f>
        <v>0</v>
      </c>
    </row>
    <row r="278" spans="36:37" ht="15" customHeight="1" x14ac:dyDescent="0.2">
      <c r="AJ278" s="42">
        <f t="shared" si="23"/>
        <v>270</v>
      </c>
      <c r="AK278" s="64">
        <f>'Disc Fact Paid Loss'!AK278</f>
        <v>0</v>
      </c>
    </row>
    <row r="279" spans="36:37" ht="15" customHeight="1" x14ac:dyDescent="0.2">
      <c r="AJ279" s="42">
        <f t="shared" si="23"/>
        <v>271</v>
      </c>
      <c r="AK279" s="64">
        <f>'Disc Fact Paid Loss'!AK279</f>
        <v>0</v>
      </c>
    </row>
    <row r="280" spans="36:37" ht="15" customHeight="1" x14ac:dyDescent="0.2">
      <c r="AJ280" s="42">
        <f t="shared" si="23"/>
        <v>272</v>
      </c>
      <c r="AK280" s="64">
        <f>'Disc Fact Paid Loss'!AK280</f>
        <v>0</v>
      </c>
    </row>
    <row r="281" spans="36:37" ht="15" customHeight="1" x14ac:dyDescent="0.2">
      <c r="AJ281" s="42">
        <f t="shared" si="23"/>
        <v>273</v>
      </c>
      <c r="AK281" s="64">
        <f>'Disc Fact Paid Loss'!AK281</f>
        <v>0</v>
      </c>
    </row>
    <row r="282" spans="36:37" ht="15" customHeight="1" x14ac:dyDescent="0.2">
      <c r="AJ282" s="42">
        <f t="shared" si="23"/>
        <v>274</v>
      </c>
      <c r="AK282" s="64">
        <f>'Disc Fact Paid Loss'!AK282</f>
        <v>0</v>
      </c>
    </row>
    <row r="283" spans="36:37" ht="15" customHeight="1" x14ac:dyDescent="0.2">
      <c r="AJ283" s="42">
        <f t="shared" si="23"/>
        <v>275</v>
      </c>
      <c r="AK283" s="64">
        <f>'Disc Fact Paid Loss'!AK283</f>
        <v>0</v>
      </c>
    </row>
    <row r="284" spans="36:37" ht="15" customHeight="1" x14ac:dyDescent="0.2">
      <c r="AJ284" s="42">
        <f t="shared" si="23"/>
        <v>276</v>
      </c>
      <c r="AK284" s="64">
        <f>'Disc Fact Paid Loss'!AK284</f>
        <v>0</v>
      </c>
    </row>
    <row r="285" spans="36:37" ht="15" customHeight="1" x14ac:dyDescent="0.2">
      <c r="AJ285" s="42">
        <f t="shared" si="23"/>
        <v>277</v>
      </c>
      <c r="AK285" s="64">
        <f>'Disc Fact Paid Loss'!AK285</f>
        <v>0</v>
      </c>
    </row>
    <row r="286" spans="36:37" ht="15" customHeight="1" x14ac:dyDescent="0.2">
      <c r="AJ286" s="42">
        <f t="shared" si="23"/>
        <v>278</v>
      </c>
      <c r="AK286" s="64">
        <f>'Disc Fact Paid Loss'!AK286</f>
        <v>0</v>
      </c>
    </row>
    <row r="287" spans="36:37" ht="15" customHeight="1" x14ac:dyDescent="0.2">
      <c r="AJ287" s="42">
        <f t="shared" si="23"/>
        <v>279</v>
      </c>
      <c r="AK287" s="64">
        <f>'Disc Fact Paid Loss'!AK287</f>
        <v>0</v>
      </c>
    </row>
    <row r="288" spans="36:37" ht="15" customHeight="1" x14ac:dyDescent="0.2">
      <c r="AJ288" s="42">
        <f t="shared" si="23"/>
        <v>280</v>
      </c>
      <c r="AK288" s="64">
        <f>'Disc Fact Paid Loss'!AK288</f>
        <v>0</v>
      </c>
    </row>
    <row r="289" spans="36:37" ht="15" customHeight="1" x14ac:dyDescent="0.2">
      <c r="AJ289" s="42">
        <f t="shared" si="23"/>
        <v>281</v>
      </c>
      <c r="AK289" s="64">
        <f>'Disc Fact Paid Loss'!AK289</f>
        <v>0</v>
      </c>
    </row>
    <row r="290" spans="36:37" ht="15" customHeight="1" x14ac:dyDescent="0.2">
      <c r="AJ290" s="42">
        <f t="shared" si="23"/>
        <v>282</v>
      </c>
      <c r="AK290" s="64">
        <f>'Disc Fact Paid Loss'!AK290</f>
        <v>0</v>
      </c>
    </row>
    <row r="291" spans="36:37" ht="15" customHeight="1" x14ac:dyDescent="0.2">
      <c r="AJ291" s="42">
        <f t="shared" si="23"/>
        <v>283</v>
      </c>
      <c r="AK291" s="64">
        <f>'Disc Fact Paid Loss'!AK291</f>
        <v>0</v>
      </c>
    </row>
    <row r="292" spans="36:37" ht="15" customHeight="1" x14ac:dyDescent="0.2">
      <c r="AJ292" s="42">
        <f t="shared" si="23"/>
        <v>284</v>
      </c>
      <c r="AK292" s="64">
        <f>'Disc Fact Paid Loss'!AK292</f>
        <v>0</v>
      </c>
    </row>
    <row r="293" spans="36:37" ht="15" customHeight="1" x14ac:dyDescent="0.2">
      <c r="AJ293" s="42">
        <f t="shared" si="23"/>
        <v>285</v>
      </c>
      <c r="AK293" s="64">
        <f>'Disc Fact Paid Loss'!AK293</f>
        <v>0</v>
      </c>
    </row>
    <row r="294" spans="36:37" ht="15" customHeight="1" x14ac:dyDescent="0.2">
      <c r="AJ294" s="42">
        <f t="shared" si="23"/>
        <v>286</v>
      </c>
      <c r="AK294" s="64">
        <f>'Disc Fact Paid Loss'!AK294</f>
        <v>0</v>
      </c>
    </row>
    <row r="295" spans="36:37" ht="15" customHeight="1" x14ac:dyDescent="0.2">
      <c r="AJ295" s="42">
        <f t="shared" si="23"/>
        <v>287</v>
      </c>
      <c r="AK295" s="64">
        <f>'Disc Fact Paid Loss'!AK295</f>
        <v>0</v>
      </c>
    </row>
    <row r="296" spans="36:37" ht="15" customHeight="1" x14ac:dyDescent="0.2">
      <c r="AJ296" s="42">
        <f t="shared" si="23"/>
        <v>288</v>
      </c>
      <c r="AK296" s="64">
        <f>'Disc Fact Paid Loss'!AK296</f>
        <v>0</v>
      </c>
    </row>
    <row r="297" spans="36:37" ht="15" customHeight="1" x14ac:dyDescent="0.2">
      <c r="AJ297" s="42">
        <f t="shared" si="23"/>
        <v>289</v>
      </c>
      <c r="AK297" s="64">
        <f>'Disc Fact Paid Loss'!AK297</f>
        <v>0</v>
      </c>
    </row>
    <row r="298" spans="36:37" ht="15" customHeight="1" x14ac:dyDescent="0.2">
      <c r="AJ298" s="42">
        <f t="shared" si="23"/>
        <v>290</v>
      </c>
      <c r="AK298" s="64">
        <f>'Disc Fact Paid Loss'!AK298</f>
        <v>0</v>
      </c>
    </row>
    <row r="299" spans="36:37" ht="15" customHeight="1" x14ac:dyDescent="0.2">
      <c r="AJ299" s="42">
        <f t="shared" si="23"/>
        <v>291</v>
      </c>
      <c r="AK299" s="64">
        <f>'Disc Fact Paid Loss'!AK299</f>
        <v>0</v>
      </c>
    </row>
    <row r="300" spans="36:37" ht="15" customHeight="1" x14ac:dyDescent="0.2">
      <c r="AJ300" s="42">
        <f t="shared" si="23"/>
        <v>292</v>
      </c>
      <c r="AK300" s="64">
        <f>'Disc Fact Paid Loss'!AK300</f>
        <v>0</v>
      </c>
    </row>
    <row r="301" spans="36:37" ht="15" customHeight="1" x14ac:dyDescent="0.2">
      <c r="AJ301" s="42">
        <f t="shared" si="23"/>
        <v>293</v>
      </c>
      <c r="AK301" s="64">
        <f>'Disc Fact Paid Loss'!AK301</f>
        <v>0</v>
      </c>
    </row>
    <row r="302" spans="36:37" ht="15" customHeight="1" x14ac:dyDescent="0.2">
      <c r="AJ302" s="42">
        <f t="shared" si="23"/>
        <v>294</v>
      </c>
      <c r="AK302" s="64">
        <f>'Disc Fact Paid Loss'!AK302</f>
        <v>0</v>
      </c>
    </row>
    <row r="303" spans="36:37" ht="15" customHeight="1" x14ac:dyDescent="0.2">
      <c r="AJ303" s="42">
        <f t="shared" si="23"/>
        <v>295</v>
      </c>
      <c r="AK303" s="64">
        <f>'Disc Fact Paid Loss'!AK303</f>
        <v>0</v>
      </c>
    </row>
    <row r="304" spans="36:37" ht="15" customHeight="1" x14ac:dyDescent="0.2">
      <c r="AJ304" s="42">
        <f t="shared" si="23"/>
        <v>296</v>
      </c>
      <c r="AK304" s="64">
        <f>'Disc Fact Paid Loss'!AK304</f>
        <v>0</v>
      </c>
    </row>
    <row r="305" spans="36:37" ht="15" customHeight="1" x14ac:dyDescent="0.2">
      <c r="AJ305" s="42">
        <f t="shared" si="23"/>
        <v>297</v>
      </c>
      <c r="AK305" s="64">
        <f>'Disc Fact Paid Loss'!AK305</f>
        <v>0</v>
      </c>
    </row>
    <row r="306" spans="36:37" ht="15" customHeight="1" x14ac:dyDescent="0.2">
      <c r="AJ306" s="42">
        <f t="shared" si="23"/>
        <v>298</v>
      </c>
      <c r="AK306" s="64">
        <f>'Disc Fact Paid Loss'!AK306</f>
        <v>0</v>
      </c>
    </row>
    <row r="307" spans="36:37" ht="15" customHeight="1" x14ac:dyDescent="0.2">
      <c r="AJ307" s="42">
        <f t="shared" si="23"/>
        <v>299</v>
      </c>
      <c r="AK307" s="64">
        <f>'Disc Fact Paid Loss'!AK307</f>
        <v>0</v>
      </c>
    </row>
    <row r="308" spans="36:37" ht="15" customHeight="1" x14ac:dyDescent="0.2">
      <c r="AJ308" s="42">
        <f t="shared" si="23"/>
        <v>300</v>
      </c>
      <c r="AK308" s="64">
        <f>'Disc Fact Paid Loss'!AK308</f>
        <v>0</v>
      </c>
    </row>
    <row r="309" spans="36:37" ht="15" customHeight="1" x14ac:dyDescent="0.2">
      <c r="AJ309" s="42">
        <f t="shared" si="23"/>
        <v>301</v>
      </c>
      <c r="AK309" s="64">
        <f>'Disc Fact Paid Loss'!AK309</f>
        <v>0</v>
      </c>
    </row>
    <row r="310" spans="36:37" ht="15" customHeight="1" x14ac:dyDescent="0.2">
      <c r="AJ310" s="42">
        <f t="shared" si="23"/>
        <v>302</v>
      </c>
      <c r="AK310" s="64">
        <f>'Disc Fact Paid Loss'!AK310</f>
        <v>0</v>
      </c>
    </row>
    <row r="311" spans="36:37" ht="15" customHeight="1" x14ac:dyDescent="0.2">
      <c r="AJ311" s="42">
        <f t="shared" si="23"/>
        <v>303</v>
      </c>
      <c r="AK311" s="64">
        <f>'Disc Fact Paid Loss'!AK311</f>
        <v>0</v>
      </c>
    </row>
    <row r="312" spans="36:37" ht="15" customHeight="1" x14ac:dyDescent="0.2">
      <c r="AJ312" s="42">
        <f t="shared" si="23"/>
        <v>304</v>
      </c>
      <c r="AK312" s="64">
        <f>'Disc Fact Paid Loss'!AK312</f>
        <v>0</v>
      </c>
    </row>
    <row r="313" spans="36:37" ht="15" customHeight="1" x14ac:dyDescent="0.2">
      <c r="AJ313" s="42">
        <f t="shared" si="23"/>
        <v>305</v>
      </c>
      <c r="AK313" s="64">
        <f>'Disc Fact Paid Loss'!AK313</f>
        <v>0</v>
      </c>
    </row>
    <row r="314" spans="36:37" ht="15" customHeight="1" x14ac:dyDescent="0.2">
      <c r="AJ314" s="42">
        <f t="shared" si="23"/>
        <v>306</v>
      </c>
      <c r="AK314" s="64">
        <f>'Disc Fact Paid Loss'!AK314</f>
        <v>0</v>
      </c>
    </row>
    <row r="315" spans="36:37" ht="15" customHeight="1" x14ac:dyDescent="0.2">
      <c r="AJ315" s="42">
        <f t="shared" si="23"/>
        <v>307</v>
      </c>
      <c r="AK315" s="64">
        <f>'Disc Fact Paid Loss'!AK315</f>
        <v>0</v>
      </c>
    </row>
    <row r="316" spans="36:37" ht="15" customHeight="1" x14ac:dyDescent="0.2">
      <c r="AJ316" s="42">
        <f t="shared" si="23"/>
        <v>308</v>
      </c>
      <c r="AK316" s="64">
        <f>'Disc Fact Paid Loss'!AK316</f>
        <v>0</v>
      </c>
    </row>
    <row r="317" spans="36:37" ht="15" customHeight="1" x14ac:dyDescent="0.2">
      <c r="AJ317" s="42">
        <f t="shared" si="23"/>
        <v>309</v>
      </c>
      <c r="AK317" s="64">
        <f>'Disc Fact Paid Loss'!AK317</f>
        <v>0</v>
      </c>
    </row>
    <row r="318" spans="36:37" ht="15" customHeight="1" x14ac:dyDescent="0.2">
      <c r="AJ318" s="42">
        <f t="shared" si="23"/>
        <v>310</v>
      </c>
      <c r="AK318" s="64">
        <f>'Disc Fact Paid Loss'!AK318</f>
        <v>0</v>
      </c>
    </row>
    <row r="319" spans="36:37" ht="15" customHeight="1" x14ac:dyDescent="0.2">
      <c r="AJ319" s="42">
        <f t="shared" si="23"/>
        <v>311</v>
      </c>
      <c r="AK319" s="64">
        <f>'Disc Fact Paid Loss'!AK319</f>
        <v>0</v>
      </c>
    </row>
    <row r="320" spans="36:37" ht="15" customHeight="1" x14ac:dyDescent="0.2">
      <c r="AJ320" s="42">
        <f t="shared" si="23"/>
        <v>312</v>
      </c>
      <c r="AK320" s="64">
        <f>'Disc Fact Paid Loss'!AK320</f>
        <v>0</v>
      </c>
    </row>
    <row r="321" spans="36:37" ht="15" customHeight="1" x14ac:dyDescent="0.2">
      <c r="AJ321" s="42">
        <f t="shared" si="23"/>
        <v>313</v>
      </c>
      <c r="AK321" s="64">
        <f>'Disc Fact Paid Loss'!AK321</f>
        <v>0</v>
      </c>
    </row>
    <row r="322" spans="36:37" ht="15" customHeight="1" x14ac:dyDescent="0.2">
      <c r="AJ322" s="42">
        <f t="shared" si="23"/>
        <v>314</v>
      </c>
      <c r="AK322" s="64">
        <f>'Disc Fact Paid Loss'!AK322</f>
        <v>0</v>
      </c>
    </row>
    <row r="323" spans="36:37" ht="15" customHeight="1" x14ac:dyDescent="0.2">
      <c r="AJ323" s="42">
        <f t="shared" si="23"/>
        <v>315</v>
      </c>
      <c r="AK323" s="64">
        <f>'Disc Fact Paid Loss'!AK323</f>
        <v>0</v>
      </c>
    </row>
    <row r="324" spans="36:37" ht="15" customHeight="1" x14ac:dyDescent="0.2">
      <c r="AJ324" s="42">
        <f t="shared" si="23"/>
        <v>316</v>
      </c>
      <c r="AK324" s="64">
        <f>'Disc Fact Paid Loss'!AK324</f>
        <v>0</v>
      </c>
    </row>
    <row r="325" spans="36:37" ht="15" customHeight="1" x14ac:dyDescent="0.2">
      <c r="AJ325" s="42">
        <f t="shared" si="23"/>
        <v>317</v>
      </c>
      <c r="AK325" s="64">
        <f>'Disc Fact Paid Loss'!AK325</f>
        <v>0</v>
      </c>
    </row>
    <row r="326" spans="36:37" ht="15" customHeight="1" x14ac:dyDescent="0.2">
      <c r="AJ326" s="42">
        <f t="shared" si="23"/>
        <v>318</v>
      </c>
      <c r="AK326" s="64">
        <f>'Disc Fact Paid Loss'!AK326</f>
        <v>0</v>
      </c>
    </row>
    <row r="327" spans="36:37" ht="15" customHeight="1" x14ac:dyDescent="0.2">
      <c r="AJ327" s="42">
        <f t="shared" si="23"/>
        <v>319</v>
      </c>
      <c r="AK327" s="64">
        <f>'Disc Fact Paid Loss'!AK327</f>
        <v>0</v>
      </c>
    </row>
    <row r="328" spans="36:37" ht="15" customHeight="1" x14ac:dyDescent="0.2">
      <c r="AJ328" s="42">
        <f t="shared" si="23"/>
        <v>320</v>
      </c>
      <c r="AK328" s="64">
        <f>'Disc Fact Paid Loss'!AK328</f>
        <v>0</v>
      </c>
    </row>
    <row r="329" spans="36:37" ht="15" customHeight="1" x14ac:dyDescent="0.2">
      <c r="AJ329" s="42">
        <f t="shared" si="23"/>
        <v>321</v>
      </c>
      <c r="AK329" s="64">
        <f>'Disc Fact Paid Loss'!AK329</f>
        <v>0</v>
      </c>
    </row>
    <row r="330" spans="36:37" ht="15" customHeight="1" x14ac:dyDescent="0.2">
      <c r="AJ330" s="42">
        <f t="shared" ref="AJ330:AJ393" si="24">AJ329+1</f>
        <v>322</v>
      </c>
      <c r="AK330" s="64">
        <f>'Disc Fact Paid Loss'!AK330</f>
        <v>0</v>
      </c>
    </row>
    <row r="331" spans="36:37" ht="15" customHeight="1" x14ac:dyDescent="0.2">
      <c r="AJ331" s="42">
        <f t="shared" si="24"/>
        <v>323</v>
      </c>
      <c r="AK331" s="64">
        <f>'Disc Fact Paid Loss'!AK331</f>
        <v>0</v>
      </c>
    </row>
    <row r="332" spans="36:37" ht="15" customHeight="1" x14ac:dyDescent="0.2">
      <c r="AJ332" s="42">
        <f t="shared" si="24"/>
        <v>324</v>
      </c>
      <c r="AK332" s="64">
        <f>'Disc Fact Paid Loss'!AK332</f>
        <v>0</v>
      </c>
    </row>
    <row r="333" spans="36:37" ht="15" customHeight="1" x14ac:dyDescent="0.2">
      <c r="AJ333" s="42">
        <f t="shared" si="24"/>
        <v>325</v>
      </c>
      <c r="AK333" s="64">
        <f>'Disc Fact Paid Loss'!AK333</f>
        <v>0</v>
      </c>
    </row>
    <row r="334" spans="36:37" ht="15" customHeight="1" x14ac:dyDescent="0.2">
      <c r="AJ334" s="42">
        <f t="shared" si="24"/>
        <v>326</v>
      </c>
      <c r="AK334" s="64">
        <f>'Disc Fact Paid Loss'!AK334</f>
        <v>0</v>
      </c>
    </row>
    <row r="335" spans="36:37" ht="15" customHeight="1" x14ac:dyDescent="0.2">
      <c r="AJ335" s="42">
        <f t="shared" si="24"/>
        <v>327</v>
      </c>
      <c r="AK335" s="64">
        <f>'Disc Fact Paid Loss'!AK335</f>
        <v>0</v>
      </c>
    </row>
    <row r="336" spans="36:37" ht="15" customHeight="1" x14ac:dyDescent="0.2">
      <c r="AJ336" s="42">
        <f t="shared" si="24"/>
        <v>328</v>
      </c>
      <c r="AK336" s="64">
        <f>'Disc Fact Paid Loss'!AK336</f>
        <v>0</v>
      </c>
    </row>
    <row r="337" spans="36:37" ht="15" customHeight="1" x14ac:dyDescent="0.2">
      <c r="AJ337" s="42">
        <f t="shared" si="24"/>
        <v>329</v>
      </c>
      <c r="AK337" s="64">
        <f>'Disc Fact Paid Loss'!AK337</f>
        <v>0</v>
      </c>
    </row>
    <row r="338" spans="36:37" ht="15" customHeight="1" x14ac:dyDescent="0.2">
      <c r="AJ338" s="42">
        <f t="shared" si="24"/>
        <v>330</v>
      </c>
      <c r="AK338" s="64">
        <f>'Disc Fact Paid Loss'!AK338</f>
        <v>0</v>
      </c>
    </row>
    <row r="339" spans="36:37" ht="15" customHeight="1" x14ac:dyDescent="0.2">
      <c r="AJ339" s="42">
        <f t="shared" si="24"/>
        <v>331</v>
      </c>
      <c r="AK339" s="64">
        <f>'Disc Fact Paid Loss'!AK339</f>
        <v>0</v>
      </c>
    </row>
    <row r="340" spans="36:37" ht="15" customHeight="1" x14ac:dyDescent="0.2">
      <c r="AJ340" s="42">
        <f t="shared" si="24"/>
        <v>332</v>
      </c>
      <c r="AK340" s="64">
        <f>'Disc Fact Paid Loss'!AK340</f>
        <v>0</v>
      </c>
    </row>
    <row r="341" spans="36:37" ht="15" customHeight="1" x14ac:dyDescent="0.2">
      <c r="AJ341" s="42">
        <f t="shared" si="24"/>
        <v>333</v>
      </c>
      <c r="AK341" s="64">
        <f>'Disc Fact Paid Loss'!AK341</f>
        <v>0</v>
      </c>
    </row>
    <row r="342" spans="36:37" ht="15" customHeight="1" x14ac:dyDescent="0.2">
      <c r="AJ342" s="42">
        <f t="shared" si="24"/>
        <v>334</v>
      </c>
      <c r="AK342" s="64">
        <f>'Disc Fact Paid Loss'!AK342</f>
        <v>0</v>
      </c>
    </row>
    <row r="343" spans="36:37" ht="15" customHeight="1" x14ac:dyDescent="0.2">
      <c r="AJ343" s="42">
        <f t="shared" si="24"/>
        <v>335</v>
      </c>
      <c r="AK343" s="64">
        <f>'Disc Fact Paid Loss'!AK343</f>
        <v>0</v>
      </c>
    </row>
    <row r="344" spans="36:37" ht="15" customHeight="1" x14ac:dyDescent="0.2">
      <c r="AJ344" s="42">
        <f t="shared" si="24"/>
        <v>336</v>
      </c>
      <c r="AK344" s="64">
        <f>'Disc Fact Paid Loss'!AK344</f>
        <v>0</v>
      </c>
    </row>
    <row r="345" spans="36:37" ht="15" customHeight="1" x14ac:dyDescent="0.2">
      <c r="AJ345" s="42">
        <f t="shared" si="24"/>
        <v>337</v>
      </c>
      <c r="AK345" s="64">
        <f>'Disc Fact Paid Loss'!AK345</f>
        <v>0</v>
      </c>
    </row>
    <row r="346" spans="36:37" ht="15" customHeight="1" x14ac:dyDescent="0.2">
      <c r="AJ346" s="42">
        <f t="shared" si="24"/>
        <v>338</v>
      </c>
      <c r="AK346" s="64">
        <f>'Disc Fact Paid Loss'!AK346</f>
        <v>0</v>
      </c>
    </row>
    <row r="347" spans="36:37" ht="15" customHeight="1" x14ac:dyDescent="0.2">
      <c r="AJ347" s="42">
        <f t="shared" si="24"/>
        <v>339</v>
      </c>
      <c r="AK347" s="64">
        <f>'Disc Fact Paid Loss'!AK347</f>
        <v>0</v>
      </c>
    </row>
    <row r="348" spans="36:37" ht="15" customHeight="1" x14ac:dyDescent="0.2">
      <c r="AJ348" s="42">
        <f t="shared" si="24"/>
        <v>340</v>
      </c>
      <c r="AK348" s="64">
        <f>'Disc Fact Paid Loss'!AK348</f>
        <v>0</v>
      </c>
    </row>
    <row r="349" spans="36:37" ht="15" customHeight="1" x14ac:dyDescent="0.2">
      <c r="AJ349" s="42">
        <f t="shared" si="24"/>
        <v>341</v>
      </c>
      <c r="AK349" s="64">
        <f>'Disc Fact Paid Loss'!AK349</f>
        <v>0</v>
      </c>
    </row>
    <row r="350" spans="36:37" ht="15" customHeight="1" x14ac:dyDescent="0.2">
      <c r="AJ350" s="42">
        <f t="shared" si="24"/>
        <v>342</v>
      </c>
      <c r="AK350" s="64">
        <f>'Disc Fact Paid Loss'!AK350</f>
        <v>0</v>
      </c>
    </row>
    <row r="351" spans="36:37" ht="15" customHeight="1" x14ac:dyDescent="0.2">
      <c r="AJ351" s="42">
        <f t="shared" si="24"/>
        <v>343</v>
      </c>
      <c r="AK351" s="64">
        <f>'Disc Fact Paid Loss'!AK351</f>
        <v>0</v>
      </c>
    </row>
    <row r="352" spans="36:37" ht="15" customHeight="1" x14ac:dyDescent="0.2">
      <c r="AJ352" s="42">
        <f t="shared" si="24"/>
        <v>344</v>
      </c>
      <c r="AK352" s="64">
        <f>'Disc Fact Paid Loss'!AK352</f>
        <v>0</v>
      </c>
    </row>
    <row r="353" spans="36:37" ht="15" customHeight="1" x14ac:dyDescent="0.2">
      <c r="AJ353" s="42">
        <f t="shared" si="24"/>
        <v>345</v>
      </c>
      <c r="AK353" s="64">
        <f>'Disc Fact Paid Loss'!AK353</f>
        <v>0</v>
      </c>
    </row>
    <row r="354" spans="36:37" ht="15" customHeight="1" x14ac:dyDescent="0.2">
      <c r="AJ354" s="42">
        <f t="shared" si="24"/>
        <v>346</v>
      </c>
      <c r="AK354" s="64">
        <f>'Disc Fact Paid Loss'!AK354</f>
        <v>0</v>
      </c>
    </row>
    <row r="355" spans="36:37" ht="15" customHeight="1" x14ac:dyDescent="0.2">
      <c r="AJ355" s="42">
        <f t="shared" si="24"/>
        <v>347</v>
      </c>
      <c r="AK355" s="64">
        <f>'Disc Fact Paid Loss'!AK355</f>
        <v>0</v>
      </c>
    </row>
    <row r="356" spans="36:37" ht="15" customHeight="1" x14ac:dyDescent="0.2">
      <c r="AJ356" s="42">
        <f t="shared" si="24"/>
        <v>348</v>
      </c>
      <c r="AK356" s="64">
        <f>'Disc Fact Paid Loss'!AK356</f>
        <v>0</v>
      </c>
    </row>
    <row r="357" spans="36:37" ht="15" customHeight="1" x14ac:dyDescent="0.2">
      <c r="AJ357" s="42">
        <f t="shared" si="24"/>
        <v>349</v>
      </c>
      <c r="AK357" s="64">
        <f>'Disc Fact Paid Loss'!AK357</f>
        <v>0</v>
      </c>
    </row>
    <row r="358" spans="36:37" ht="15" customHeight="1" x14ac:dyDescent="0.2">
      <c r="AJ358" s="42">
        <f t="shared" si="24"/>
        <v>350</v>
      </c>
      <c r="AK358" s="64">
        <f>'Disc Fact Paid Loss'!AK358</f>
        <v>0</v>
      </c>
    </row>
    <row r="359" spans="36:37" ht="15" customHeight="1" x14ac:dyDescent="0.2">
      <c r="AJ359" s="42">
        <f t="shared" si="24"/>
        <v>351</v>
      </c>
      <c r="AK359" s="64">
        <f>'Disc Fact Paid Loss'!AK359</f>
        <v>0</v>
      </c>
    </row>
    <row r="360" spans="36:37" ht="15" customHeight="1" x14ac:dyDescent="0.2">
      <c r="AJ360" s="42">
        <f t="shared" si="24"/>
        <v>352</v>
      </c>
      <c r="AK360" s="64">
        <f>'Disc Fact Paid Loss'!AK360</f>
        <v>0</v>
      </c>
    </row>
    <row r="361" spans="36:37" ht="15" customHeight="1" x14ac:dyDescent="0.2">
      <c r="AJ361" s="42">
        <f t="shared" si="24"/>
        <v>353</v>
      </c>
      <c r="AK361" s="64">
        <f>'Disc Fact Paid Loss'!AK361</f>
        <v>0</v>
      </c>
    </row>
    <row r="362" spans="36:37" ht="15" customHeight="1" x14ac:dyDescent="0.2">
      <c r="AJ362" s="42">
        <f t="shared" si="24"/>
        <v>354</v>
      </c>
      <c r="AK362" s="64">
        <f>'Disc Fact Paid Loss'!AK362</f>
        <v>0</v>
      </c>
    </row>
    <row r="363" spans="36:37" ht="15" customHeight="1" x14ac:dyDescent="0.2">
      <c r="AJ363" s="42">
        <f t="shared" si="24"/>
        <v>355</v>
      </c>
      <c r="AK363" s="64">
        <f>'Disc Fact Paid Loss'!AK363</f>
        <v>0</v>
      </c>
    </row>
    <row r="364" spans="36:37" ht="15" customHeight="1" x14ac:dyDescent="0.2">
      <c r="AJ364" s="42">
        <f t="shared" si="24"/>
        <v>356</v>
      </c>
      <c r="AK364" s="64">
        <f>'Disc Fact Paid Loss'!AK364</f>
        <v>0</v>
      </c>
    </row>
    <row r="365" spans="36:37" ht="15" customHeight="1" x14ac:dyDescent="0.2">
      <c r="AJ365" s="42">
        <f t="shared" si="24"/>
        <v>357</v>
      </c>
      <c r="AK365" s="64">
        <f>'Disc Fact Paid Loss'!AK365</f>
        <v>0</v>
      </c>
    </row>
    <row r="366" spans="36:37" ht="15" customHeight="1" x14ac:dyDescent="0.2">
      <c r="AJ366" s="42">
        <f t="shared" si="24"/>
        <v>358</v>
      </c>
      <c r="AK366" s="64">
        <f>'Disc Fact Paid Loss'!AK366</f>
        <v>0</v>
      </c>
    </row>
    <row r="367" spans="36:37" ht="15" customHeight="1" x14ac:dyDescent="0.2">
      <c r="AJ367" s="42">
        <f t="shared" si="24"/>
        <v>359</v>
      </c>
      <c r="AK367" s="64">
        <f>'Disc Fact Paid Loss'!AK367</f>
        <v>0</v>
      </c>
    </row>
    <row r="368" spans="36:37" ht="15" customHeight="1" x14ac:dyDescent="0.2">
      <c r="AJ368" s="42">
        <f t="shared" si="24"/>
        <v>360</v>
      </c>
      <c r="AK368" s="64">
        <f>'Disc Fact Paid Loss'!AK368</f>
        <v>0</v>
      </c>
    </row>
    <row r="369" spans="36:37" ht="15" customHeight="1" x14ac:dyDescent="0.2">
      <c r="AJ369" s="42">
        <f t="shared" si="24"/>
        <v>361</v>
      </c>
      <c r="AK369" s="64">
        <f>'Disc Fact Paid Loss'!AK369</f>
        <v>0</v>
      </c>
    </row>
    <row r="370" spans="36:37" ht="15" customHeight="1" x14ac:dyDescent="0.2">
      <c r="AJ370" s="42">
        <f t="shared" si="24"/>
        <v>362</v>
      </c>
      <c r="AK370" s="64">
        <f>'Disc Fact Paid Loss'!AK370</f>
        <v>0</v>
      </c>
    </row>
    <row r="371" spans="36:37" ht="15" customHeight="1" x14ac:dyDescent="0.2">
      <c r="AJ371" s="42">
        <f t="shared" si="24"/>
        <v>363</v>
      </c>
      <c r="AK371" s="64">
        <f>'Disc Fact Paid Loss'!AK371</f>
        <v>0</v>
      </c>
    </row>
    <row r="372" spans="36:37" ht="15" customHeight="1" x14ac:dyDescent="0.2">
      <c r="AJ372" s="42">
        <f t="shared" si="24"/>
        <v>364</v>
      </c>
      <c r="AK372" s="64">
        <f>'Disc Fact Paid Loss'!AK372</f>
        <v>0</v>
      </c>
    </row>
    <row r="373" spans="36:37" ht="15" customHeight="1" x14ac:dyDescent="0.2">
      <c r="AJ373" s="42">
        <f t="shared" si="24"/>
        <v>365</v>
      </c>
      <c r="AK373" s="64">
        <f>'Disc Fact Paid Loss'!AK373</f>
        <v>0</v>
      </c>
    </row>
    <row r="374" spans="36:37" ht="15" customHeight="1" x14ac:dyDescent="0.2">
      <c r="AJ374" s="42">
        <f t="shared" si="24"/>
        <v>366</v>
      </c>
      <c r="AK374" s="64">
        <f>'Disc Fact Paid Loss'!AK374</f>
        <v>0</v>
      </c>
    </row>
    <row r="375" spans="36:37" ht="15" customHeight="1" x14ac:dyDescent="0.2">
      <c r="AJ375" s="42">
        <f t="shared" si="24"/>
        <v>367</v>
      </c>
      <c r="AK375" s="64">
        <f>'Disc Fact Paid Loss'!AK375</f>
        <v>0</v>
      </c>
    </row>
    <row r="376" spans="36:37" ht="15" customHeight="1" x14ac:dyDescent="0.2">
      <c r="AJ376" s="42">
        <f t="shared" si="24"/>
        <v>368</v>
      </c>
      <c r="AK376" s="64">
        <f>'Disc Fact Paid Loss'!AK376</f>
        <v>0</v>
      </c>
    </row>
    <row r="377" spans="36:37" ht="15" customHeight="1" x14ac:dyDescent="0.2">
      <c r="AJ377" s="42">
        <f t="shared" si="24"/>
        <v>369</v>
      </c>
      <c r="AK377" s="64">
        <f>'Disc Fact Paid Loss'!AK377</f>
        <v>0</v>
      </c>
    </row>
    <row r="378" spans="36:37" ht="15" customHeight="1" x14ac:dyDescent="0.2">
      <c r="AJ378" s="42">
        <f t="shared" si="24"/>
        <v>370</v>
      </c>
      <c r="AK378" s="64">
        <f>'Disc Fact Paid Loss'!AK378</f>
        <v>0</v>
      </c>
    </row>
    <row r="379" spans="36:37" ht="15" customHeight="1" x14ac:dyDescent="0.2">
      <c r="AJ379" s="42">
        <f t="shared" si="24"/>
        <v>371</v>
      </c>
      <c r="AK379" s="64">
        <f>'Disc Fact Paid Loss'!AK379</f>
        <v>0</v>
      </c>
    </row>
    <row r="380" spans="36:37" ht="15" customHeight="1" x14ac:dyDescent="0.2">
      <c r="AJ380" s="42">
        <f t="shared" si="24"/>
        <v>372</v>
      </c>
      <c r="AK380" s="64">
        <f>'Disc Fact Paid Loss'!AK380</f>
        <v>0</v>
      </c>
    </row>
    <row r="381" spans="36:37" ht="15" customHeight="1" x14ac:dyDescent="0.2">
      <c r="AJ381" s="42">
        <f t="shared" si="24"/>
        <v>373</v>
      </c>
      <c r="AK381" s="64">
        <f>'Disc Fact Paid Loss'!AK381</f>
        <v>0</v>
      </c>
    </row>
    <row r="382" spans="36:37" ht="15" customHeight="1" x14ac:dyDescent="0.2">
      <c r="AJ382" s="42">
        <f t="shared" si="24"/>
        <v>374</v>
      </c>
      <c r="AK382" s="64">
        <f>'Disc Fact Paid Loss'!AK382</f>
        <v>0</v>
      </c>
    </row>
    <row r="383" spans="36:37" ht="15" customHeight="1" x14ac:dyDescent="0.2">
      <c r="AJ383" s="42">
        <f t="shared" si="24"/>
        <v>375</v>
      </c>
      <c r="AK383" s="64">
        <f>'Disc Fact Paid Loss'!AK383</f>
        <v>0</v>
      </c>
    </row>
    <row r="384" spans="36:37" ht="15" customHeight="1" x14ac:dyDescent="0.2">
      <c r="AJ384" s="42">
        <f t="shared" si="24"/>
        <v>376</v>
      </c>
      <c r="AK384" s="64">
        <f>'Disc Fact Paid Loss'!AK384</f>
        <v>0</v>
      </c>
    </row>
    <row r="385" spans="36:37" ht="15" customHeight="1" x14ac:dyDescent="0.2">
      <c r="AJ385" s="42">
        <f t="shared" si="24"/>
        <v>377</v>
      </c>
      <c r="AK385" s="64">
        <f>'Disc Fact Paid Loss'!AK385</f>
        <v>0</v>
      </c>
    </row>
    <row r="386" spans="36:37" ht="15" customHeight="1" x14ac:dyDescent="0.2">
      <c r="AJ386" s="42">
        <f t="shared" si="24"/>
        <v>378</v>
      </c>
      <c r="AK386" s="64">
        <f>'Disc Fact Paid Loss'!AK386</f>
        <v>0</v>
      </c>
    </row>
    <row r="387" spans="36:37" ht="15" customHeight="1" x14ac:dyDescent="0.2">
      <c r="AJ387" s="42">
        <f t="shared" si="24"/>
        <v>379</v>
      </c>
      <c r="AK387" s="64">
        <f>'Disc Fact Paid Loss'!AK387</f>
        <v>0</v>
      </c>
    </row>
    <row r="388" spans="36:37" ht="15" customHeight="1" x14ac:dyDescent="0.2">
      <c r="AJ388" s="42">
        <f t="shared" si="24"/>
        <v>380</v>
      </c>
      <c r="AK388" s="64">
        <f>'Disc Fact Paid Loss'!AK388</f>
        <v>0</v>
      </c>
    </row>
    <row r="389" spans="36:37" ht="15" customHeight="1" x14ac:dyDescent="0.2">
      <c r="AJ389" s="42">
        <f t="shared" si="24"/>
        <v>381</v>
      </c>
      <c r="AK389" s="64">
        <f>'Disc Fact Paid Loss'!AK389</f>
        <v>0</v>
      </c>
    </row>
    <row r="390" spans="36:37" ht="15" customHeight="1" x14ac:dyDescent="0.2">
      <c r="AJ390" s="42">
        <f t="shared" si="24"/>
        <v>382</v>
      </c>
      <c r="AK390" s="64">
        <f>'Disc Fact Paid Loss'!AK390</f>
        <v>0</v>
      </c>
    </row>
    <row r="391" spans="36:37" ht="15" customHeight="1" x14ac:dyDescent="0.2">
      <c r="AJ391" s="42">
        <f t="shared" si="24"/>
        <v>383</v>
      </c>
      <c r="AK391" s="64">
        <f>'Disc Fact Paid Loss'!AK391</f>
        <v>0</v>
      </c>
    </row>
    <row r="392" spans="36:37" ht="15" customHeight="1" x14ac:dyDescent="0.2">
      <c r="AJ392" s="42">
        <f t="shared" si="24"/>
        <v>384</v>
      </c>
      <c r="AK392" s="64">
        <f>'Disc Fact Paid Loss'!AK392</f>
        <v>0</v>
      </c>
    </row>
    <row r="393" spans="36:37" ht="15" customHeight="1" x14ac:dyDescent="0.2">
      <c r="AJ393" s="42">
        <f t="shared" si="24"/>
        <v>385</v>
      </c>
      <c r="AK393" s="64">
        <f>'Disc Fact Paid Loss'!AK393</f>
        <v>0</v>
      </c>
    </row>
    <row r="394" spans="36:37" ht="15" customHeight="1" x14ac:dyDescent="0.2">
      <c r="AJ394" s="42">
        <f t="shared" ref="AJ394:AJ443" si="25">AJ393+1</f>
        <v>386</v>
      </c>
      <c r="AK394" s="64">
        <f>'Disc Fact Paid Loss'!AK394</f>
        <v>0</v>
      </c>
    </row>
    <row r="395" spans="36:37" ht="15" customHeight="1" x14ac:dyDescent="0.2">
      <c r="AJ395" s="42">
        <f t="shared" si="25"/>
        <v>387</v>
      </c>
      <c r="AK395" s="64">
        <f>'Disc Fact Paid Loss'!AK395</f>
        <v>0</v>
      </c>
    </row>
    <row r="396" spans="36:37" ht="15" customHeight="1" x14ac:dyDescent="0.2">
      <c r="AJ396" s="42">
        <f t="shared" si="25"/>
        <v>388</v>
      </c>
      <c r="AK396" s="64">
        <f>'Disc Fact Paid Loss'!AK396</f>
        <v>0</v>
      </c>
    </row>
    <row r="397" spans="36:37" ht="15" customHeight="1" x14ac:dyDescent="0.2">
      <c r="AJ397" s="42">
        <f t="shared" si="25"/>
        <v>389</v>
      </c>
      <c r="AK397" s="64">
        <f>'Disc Fact Paid Loss'!AK397</f>
        <v>0</v>
      </c>
    </row>
    <row r="398" spans="36:37" ht="15" customHeight="1" x14ac:dyDescent="0.2">
      <c r="AJ398" s="42">
        <f t="shared" si="25"/>
        <v>390</v>
      </c>
      <c r="AK398" s="64">
        <f>'Disc Fact Paid Loss'!AK398</f>
        <v>0</v>
      </c>
    </row>
    <row r="399" spans="36:37" ht="15" customHeight="1" x14ac:dyDescent="0.2">
      <c r="AJ399" s="42">
        <f t="shared" si="25"/>
        <v>391</v>
      </c>
      <c r="AK399" s="64">
        <f>'Disc Fact Paid Loss'!AK399</f>
        <v>0</v>
      </c>
    </row>
    <row r="400" spans="36:37" ht="15" customHeight="1" x14ac:dyDescent="0.2">
      <c r="AJ400" s="42">
        <f t="shared" si="25"/>
        <v>392</v>
      </c>
      <c r="AK400" s="64">
        <f>'Disc Fact Paid Loss'!AK400</f>
        <v>0</v>
      </c>
    </row>
    <row r="401" spans="36:37" ht="15" customHeight="1" x14ac:dyDescent="0.2">
      <c r="AJ401" s="42">
        <f t="shared" si="25"/>
        <v>393</v>
      </c>
      <c r="AK401" s="64">
        <f>'Disc Fact Paid Loss'!AK401</f>
        <v>0</v>
      </c>
    </row>
    <row r="402" spans="36:37" ht="15" customHeight="1" x14ac:dyDescent="0.2">
      <c r="AJ402" s="42">
        <f t="shared" si="25"/>
        <v>394</v>
      </c>
      <c r="AK402" s="64">
        <f>'Disc Fact Paid Loss'!AK402</f>
        <v>0</v>
      </c>
    </row>
    <row r="403" spans="36:37" ht="15" customHeight="1" x14ac:dyDescent="0.2">
      <c r="AJ403" s="42">
        <f t="shared" si="25"/>
        <v>395</v>
      </c>
      <c r="AK403" s="64">
        <f>'Disc Fact Paid Loss'!AK403</f>
        <v>0</v>
      </c>
    </row>
    <row r="404" spans="36:37" ht="15" customHeight="1" x14ac:dyDescent="0.2">
      <c r="AJ404" s="42">
        <f t="shared" si="25"/>
        <v>396</v>
      </c>
      <c r="AK404" s="64">
        <f>'Disc Fact Paid Loss'!AK404</f>
        <v>0</v>
      </c>
    </row>
    <row r="405" spans="36:37" ht="15" customHeight="1" x14ac:dyDescent="0.2">
      <c r="AJ405" s="42">
        <f t="shared" si="25"/>
        <v>397</v>
      </c>
      <c r="AK405" s="64">
        <f>'Disc Fact Paid Loss'!AK405</f>
        <v>0</v>
      </c>
    </row>
    <row r="406" spans="36:37" ht="15" customHeight="1" x14ac:dyDescent="0.2">
      <c r="AJ406" s="42">
        <f t="shared" si="25"/>
        <v>398</v>
      </c>
      <c r="AK406" s="64">
        <f>'Disc Fact Paid Loss'!AK406</f>
        <v>0</v>
      </c>
    </row>
    <row r="407" spans="36:37" ht="15" customHeight="1" x14ac:dyDescent="0.2">
      <c r="AJ407" s="42">
        <f t="shared" si="25"/>
        <v>399</v>
      </c>
      <c r="AK407" s="64">
        <f>'Disc Fact Paid Loss'!AK407</f>
        <v>0</v>
      </c>
    </row>
    <row r="408" spans="36:37" ht="15" customHeight="1" x14ac:dyDescent="0.2">
      <c r="AJ408" s="42">
        <f t="shared" si="25"/>
        <v>400</v>
      </c>
      <c r="AK408" s="64">
        <f>'Disc Fact Paid Loss'!AK408</f>
        <v>0</v>
      </c>
    </row>
    <row r="409" spans="36:37" ht="15" customHeight="1" x14ac:dyDescent="0.2">
      <c r="AJ409" s="42">
        <f t="shared" si="25"/>
        <v>401</v>
      </c>
      <c r="AK409" s="18"/>
    </row>
    <row r="410" spans="36:37" ht="15" customHeight="1" x14ac:dyDescent="0.2">
      <c r="AJ410" s="42">
        <f t="shared" si="25"/>
        <v>402</v>
      </c>
      <c r="AK410" s="18"/>
    </row>
    <row r="411" spans="36:37" ht="15" customHeight="1" x14ac:dyDescent="0.2">
      <c r="AJ411" s="42">
        <f t="shared" si="25"/>
        <v>403</v>
      </c>
      <c r="AK411" s="18"/>
    </row>
    <row r="412" spans="36:37" ht="15" customHeight="1" x14ac:dyDescent="0.2">
      <c r="AJ412" s="42">
        <f t="shared" si="25"/>
        <v>404</v>
      </c>
      <c r="AK412" s="18"/>
    </row>
    <row r="413" spans="36:37" ht="15" customHeight="1" x14ac:dyDescent="0.2">
      <c r="AJ413" s="42">
        <f t="shared" si="25"/>
        <v>405</v>
      </c>
      <c r="AK413" s="18"/>
    </row>
    <row r="414" spans="36:37" ht="15" customHeight="1" x14ac:dyDescent="0.2">
      <c r="AJ414" s="42">
        <f t="shared" si="25"/>
        <v>406</v>
      </c>
      <c r="AK414" s="18"/>
    </row>
    <row r="415" spans="36:37" ht="15" customHeight="1" x14ac:dyDescent="0.2">
      <c r="AJ415" s="42">
        <f t="shared" si="25"/>
        <v>407</v>
      </c>
      <c r="AK415" s="18"/>
    </row>
    <row r="416" spans="36:37" ht="15" customHeight="1" x14ac:dyDescent="0.2">
      <c r="AJ416" s="42">
        <f t="shared" si="25"/>
        <v>408</v>
      </c>
      <c r="AK416" s="18"/>
    </row>
    <row r="417" spans="36:37" ht="15" customHeight="1" x14ac:dyDescent="0.2">
      <c r="AJ417" s="42">
        <f t="shared" si="25"/>
        <v>409</v>
      </c>
      <c r="AK417" s="18"/>
    </row>
    <row r="418" spans="36:37" ht="15" customHeight="1" x14ac:dyDescent="0.2">
      <c r="AJ418" s="42">
        <f t="shared" si="25"/>
        <v>410</v>
      </c>
      <c r="AK418" s="18"/>
    </row>
    <row r="419" spans="36:37" ht="15" customHeight="1" x14ac:dyDescent="0.2">
      <c r="AJ419" s="42">
        <f t="shared" si="25"/>
        <v>411</v>
      </c>
      <c r="AK419" s="18"/>
    </row>
    <row r="420" spans="36:37" ht="15" customHeight="1" x14ac:dyDescent="0.2">
      <c r="AJ420" s="42">
        <f t="shared" si="25"/>
        <v>412</v>
      </c>
      <c r="AK420" s="18"/>
    </row>
    <row r="421" spans="36:37" ht="15" customHeight="1" x14ac:dyDescent="0.2">
      <c r="AJ421" s="42">
        <f t="shared" si="25"/>
        <v>413</v>
      </c>
      <c r="AK421" s="18"/>
    </row>
    <row r="422" spans="36:37" ht="15" customHeight="1" x14ac:dyDescent="0.2">
      <c r="AJ422" s="42">
        <f t="shared" si="25"/>
        <v>414</v>
      </c>
      <c r="AK422" s="18"/>
    </row>
    <row r="423" spans="36:37" ht="15" customHeight="1" x14ac:dyDescent="0.2">
      <c r="AJ423" s="42">
        <f t="shared" si="25"/>
        <v>415</v>
      </c>
      <c r="AK423" s="18"/>
    </row>
    <row r="424" spans="36:37" ht="15" customHeight="1" x14ac:dyDescent="0.2">
      <c r="AJ424" s="42">
        <f t="shared" si="25"/>
        <v>416</v>
      </c>
      <c r="AK424" s="18"/>
    </row>
    <row r="425" spans="36:37" ht="15" customHeight="1" x14ac:dyDescent="0.2">
      <c r="AJ425" s="42">
        <f t="shared" si="25"/>
        <v>417</v>
      </c>
      <c r="AK425" s="18"/>
    </row>
    <row r="426" spans="36:37" ht="15" customHeight="1" x14ac:dyDescent="0.2">
      <c r="AJ426" s="42">
        <f t="shared" si="25"/>
        <v>418</v>
      </c>
      <c r="AK426" s="18"/>
    </row>
    <row r="427" spans="36:37" ht="15" customHeight="1" x14ac:dyDescent="0.2">
      <c r="AJ427" s="42">
        <f t="shared" si="25"/>
        <v>419</v>
      </c>
      <c r="AK427" s="18"/>
    </row>
    <row r="428" spans="36:37" ht="15" customHeight="1" x14ac:dyDescent="0.2">
      <c r="AJ428" s="42">
        <f t="shared" si="25"/>
        <v>420</v>
      </c>
      <c r="AK428" s="18"/>
    </row>
    <row r="429" spans="36:37" ht="15" customHeight="1" x14ac:dyDescent="0.2">
      <c r="AJ429" s="42">
        <f t="shared" si="25"/>
        <v>421</v>
      </c>
      <c r="AK429" s="18"/>
    </row>
    <row r="430" spans="36:37" ht="15" customHeight="1" x14ac:dyDescent="0.2">
      <c r="AJ430" s="42">
        <f t="shared" si="25"/>
        <v>422</v>
      </c>
      <c r="AK430" s="18"/>
    </row>
    <row r="431" spans="36:37" ht="15" customHeight="1" x14ac:dyDescent="0.2">
      <c r="AJ431" s="42">
        <f t="shared" si="25"/>
        <v>423</v>
      </c>
      <c r="AK431" s="18"/>
    </row>
    <row r="432" spans="36:37" ht="15" customHeight="1" x14ac:dyDescent="0.2">
      <c r="AJ432" s="42">
        <f t="shared" si="25"/>
        <v>424</v>
      </c>
      <c r="AK432" s="18"/>
    </row>
    <row r="433" spans="36:37" ht="15" customHeight="1" x14ac:dyDescent="0.2">
      <c r="AJ433" s="42">
        <f t="shared" si="25"/>
        <v>425</v>
      </c>
      <c r="AK433" s="18"/>
    </row>
    <row r="434" spans="36:37" ht="15" customHeight="1" x14ac:dyDescent="0.2">
      <c r="AJ434" s="42">
        <f t="shared" si="25"/>
        <v>426</v>
      </c>
      <c r="AK434" s="18"/>
    </row>
    <row r="435" spans="36:37" ht="15" customHeight="1" x14ac:dyDescent="0.2">
      <c r="AJ435" s="42">
        <f t="shared" si="25"/>
        <v>427</v>
      </c>
      <c r="AK435" s="18"/>
    </row>
    <row r="436" spans="36:37" ht="15" customHeight="1" x14ac:dyDescent="0.2">
      <c r="AJ436" s="42">
        <f t="shared" si="25"/>
        <v>428</v>
      </c>
      <c r="AK436" s="18"/>
    </row>
    <row r="437" spans="36:37" ht="15" customHeight="1" x14ac:dyDescent="0.2">
      <c r="AJ437" s="42">
        <f t="shared" si="25"/>
        <v>429</v>
      </c>
      <c r="AK437" s="18"/>
    </row>
    <row r="438" spans="36:37" ht="15" customHeight="1" x14ac:dyDescent="0.2">
      <c r="AJ438" s="42">
        <f t="shared" si="25"/>
        <v>430</v>
      </c>
      <c r="AK438" s="18"/>
    </row>
    <row r="439" spans="36:37" ht="15" customHeight="1" x14ac:dyDescent="0.2">
      <c r="AJ439" s="42">
        <f t="shared" si="25"/>
        <v>431</v>
      </c>
      <c r="AK439" s="18"/>
    </row>
    <row r="440" spans="36:37" ht="15" customHeight="1" x14ac:dyDescent="0.2">
      <c r="AJ440" s="42">
        <f t="shared" si="25"/>
        <v>432</v>
      </c>
      <c r="AK440" s="18"/>
    </row>
    <row r="441" spans="36:37" ht="15" customHeight="1" x14ac:dyDescent="0.2">
      <c r="AJ441" s="42">
        <f t="shared" si="25"/>
        <v>433</v>
      </c>
      <c r="AK441" s="18"/>
    </row>
    <row r="442" spans="36:37" ht="15" customHeight="1" x14ac:dyDescent="0.2">
      <c r="AJ442" s="42">
        <f t="shared" si="25"/>
        <v>434</v>
      </c>
      <c r="AK442" s="18"/>
    </row>
    <row r="443" spans="36:37" ht="15" customHeight="1" x14ac:dyDescent="0.2">
      <c r="AJ443" s="42">
        <f t="shared" si="25"/>
        <v>435</v>
      </c>
      <c r="AK443" s="18"/>
    </row>
  </sheetData>
  <mergeCells count="1">
    <mergeCell ref="AG9:AH9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2"/>
    <pageSetUpPr fitToPage="1"/>
  </sheetPr>
  <dimension ref="A1:AC673"/>
  <sheetViews>
    <sheetView workbookViewId="0">
      <selection sqref="A1:N1"/>
    </sheetView>
  </sheetViews>
  <sheetFormatPr defaultColWidth="9.140625" defaultRowHeight="12.75" x14ac:dyDescent="0.2"/>
  <cols>
    <col min="1" max="1" width="11" style="166" customWidth="1"/>
    <col min="2" max="2" width="18.7109375" style="83" customWidth="1"/>
    <col min="3" max="3" width="17" style="83" bestFit="1" customWidth="1"/>
    <col min="4" max="6" width="19.42578125" style="83" bestFit="1" customWidth="1"/>
    <col min="7" max="7" width="21.140625" style="83" bestFit="1" customWidth="1"/>
    <col min="8" max="8" width="18.140625" style="83" customWidth="1"/>
    <col min="9" max="9" width="14.140625" style="83" customWidth="1"/>
    <col min="10" max="11" width="17.5703125" style="83" customWidth="1"/>
    <col min="12" max="12" width="10.42578125" style="84" customWidth="1"/>
    <col min="13" max="13" width="19.140625" style="84" bestFit="1" customWidth="1"/>
    <col min="14" max="14" width="10.42578125" style="84" customWidth="1"/>
    <col min="15" max="15" width="11.5703125" style="84" customWidth="1"/>
    <col min="16" max="16" width="17" style="83" customWidth="1"/>
    <col min="17" max="17" width="12.28515625" style="83" hidden="1" customWidth="1"/>
    <col min="18" max="18" width="17.28515625" style="83" bestFit="1" customWidth="1"/>
    <col min="19" max="19" width="10" style="83" hidden="1" customWidth="1"/>
    <col min="20" max="20" width="16.5703125" style="83" customWidth="1"/>
    <col min="21" max="21" width="14.5703125" style="83" hidden="1" customWidth="1"/>
    <col min="22" max="22" width="16" style="83" customWidth="1"/>
    <col min="23" max="23" width="10.42578125" style="83" hidden="1" customWidth="1"/>
    <col min="24" max="24" width="17" style="83" customWidth="1"/>
    <col min="25" max="25" width="10.42578125" style="83" customWidth="1"/>
    <col min="26" max="26" width="21.7109375" style="83" bestFit="1" customWidth="1"/>
    <col min="27" max="28" width="16.28515625" style="85" bestFit="1" customWidth="1"/>
    <col min="29" max="16384" width="9.140625" style="85"/>
  </cols>
  <sheetData>
    <row r="1" spans="1:28" x14ac:dyDescent="0.2">
      <c r="A1" s="82" t="s">
        <v>142</v>
      </c>
    </row>
    <row r="2" spans="1:28" x14ac:dyDescent="0.2">
      <c r="A2" s="82"/>
    </row>
    <row r="3" spans="1:28" hidden="1" x14ac:dyDescent="0.2">
      <c r="A3" s="82" t="s">
        <v>122</v>
      </c>
    </row>
    <row r="4" spans="1:28" ht="38.25" hidden="1" x14ac:dyDescent="0.2">
      <c r="A4" s="86" t="s">
        <v>143</v>
      </c>
      <c r="B4" s="87" t="s">
        <v>144</v>
      </c>
      <c r="C4" s="87" t="s">
        <v>145</v>
      </c>
      <c r="D4" s="87"/>
      <c r="E4" s="87"/>
      <c r="F4" s="87"/>
      <c r="G4" s="87" t="s">
        <v>146</v>
      </c>
      <c r="H4" s="87" t="s">
        <v>147</v>
      </c>
      <c r="I4" s="87" t="s">
        <v>148</v>
      </c>
      <c r="J4" s="87" t="s">
        <v>169</v>
      </c>
      <c r="K4" s="87" t="s">
        <v>136</v>
      </c>
      <c r="L4" s="87" t="s">
        <v>149</v>
      </c>
      <c r="M4" s="87" t="s">
        <v>163</v>
      </c>
      <c r="N4" s="87" t="s">
        <v>164</v>
      </c>
      <c r="O4" s="87" t="s">
        <v>207</v>
      </c>
      <c r="P4" s="87" t="s">
        <v>150</v>
      </c>
      <c r="Q4" s="87" t="s">
        <v>151</v>
      </c>
      <c r="R4" s="87" t="s">
        <v>152</v>
      </c>
      <c r="S4" s="87" t="s">
        <v>153</v>
      </c>
      <c r="T4" s="87" t="s">
        <v>154</v>
      </c>
      <c r="U4" s="87" t="s">
        <v>155</v>
      </c>
      <c r="V4" s="87" t="s">
        <v>156</v>
      </c>
      <c r="W4" s="87" t="s">
        <v>157</v>
      </c>
      <c r="X4" s="87"/>
      <c r="Y4" s="87"/>
      <c r="Z4" s="87" t="s">
        <v>174</v>
      </c>
      <c r="AA4" s="87" t="s">
        <v>173</v>
      </c>
      <c r="AB4" s="87" t="s">
        <v>175</v>
      </c>
    </row>
    <row r="5" spans="1:28" hidden="1" x14ac:dyDescent="0.2">
      <c r="A5" s="88">
        <v>35155</v>
      </c>
      <c r="B5" s="89">
        <v>20933915.23</v>
      </c>
      <c r="C5" s="89">
        <v>0</v>
      </c>
      <c r="D5" s="89"/>
      <c r="E5" s="89"/>
      <c r="F5" s="89"/>
      <c r="G5" s="90">
        <v>20933915.23</v>
      </c>
      <c r="H5" s="91">
        <v>83088.320000000007</v>
      </c>
      <c r="I5" s="91"/>
      <c r="J5" s="91">
        <v>4782376.3</v>
      </c>
      <c r="K5" s="90">
        <f>J5-M5</f>
        <v>4782376.3</v>
      </c>
      <c r="L5" s="89"/>
      <c r="M5" s="89"/>
      <c r="N5" s="89"/>
      <c r="O5" s="89"/>
      <c r="P5" s="91">
        <v>178286.81</v>
      </c>
      <c r="Q5" s="89"/>
      <c r="R5" s="91">
        <v>833166.92</v>
      </c>
      <c r="S5" s="89"/>
      <c r="T5" s="91">
        <v>0</v>
      </c>
      <c r="U5" s="89"/>
      <c r="V5" s="91">
        <v>627224.06000000006</v>
      </c>
      <c r="W5" s="89"/>
      <c r="X5" s="89"/>
      <c r="Y5" s="89"/>
      <c r="Z5" s="91">
        <f>G5-H5-J5-P5-R5-T5+V5</f>
        <v>15684220.939999999</v>
      </c>
      <c r="AA5" s="92">
        <v>15684220.939999999</v>
      </c>
      <c r="AB5" s="92">
        <f>Z5-AA5</f>
        <v>0</v>
      </c>
    </row>
    <row r="6" spans="1:28" hidden="1" x14ac:dyDescent="0.2">
      <c r="A6" s="93">
        <v>35246</v>
      </c>
      <c r="B6" s="94">
        <v>17242920.739999998</v>
      </c>
      <c r="C6" s="94">
        <v>0</v>
      </c>
      <c r="D6" s="89"/>
      <c r="E6" s="89"/>
      <c r="F6" s="89"/>
      <c r="G6" s="90">
        <v>17242920.739999998</v>
      </c>
      <c r="H6" s="91">
        <v>520069.88</v>
      </c>
      <c r="I6" s="91"/>
      <c r="J6" s="91">
        <v>3979785.98</v>
      </c>
      <c r="K6" s="90">
        <f t="shared" ref="K6:K52" si="0">J6-M6</f>
        <v>3979785.98</v>
      </c>
      <c r="L6" s="94"/>
      <c r="M6" s="94"/>
      <c r="N6" s="94"/>
      <c r="O6" s="94"/>
      <c r="P6" s="91">
        <v>313870.5</v>
      </c>
      <c r="Q6" s="94"/>
      <c r="R6" s="91">
        <v>996637.84</v>
      </c>
      <c r="S6" s="94"/>
      <c r="T6" s="91">
        <v>168.24</v>
      </c>
      <c r="U6" s="94"/>
      <c r="V6" s="91">
        <v>589619.88</v>
      </c>
      <c r="W6" s="94"/>
      <c r="X6" s="94"/>
      <c r="Y6" s="94"/>
      <c r="Z6" s="91">
        <f t="shared" ref="Z6:Z61" si="1">G6-H6-J6-P6-R6-T6+V6</f>
        <v>12022008.179999998</v>
      </c>
      <c r="AA6" s="92">
        <v>12022008.18</v>
      </c>
      <c r="AB6" s="92">
        <f t="shared" ref="AB6:AB86" si="2">Z6-AA6</f>
        <v>0</v>
      </c>
    </row>
    <row r="7" spans="1:28" hidden="1" x14ac:dyDescent="0.2">
      <c r="A7" s="93">
        <v>35338</v>
      </c>
      <c r="B7" s="94">
        <v>20031475.850000001</v>
      </c>
      <c r="C7" s="94">
        <v>0</v>
      </c>
      <c r="D7" s="89"/>
      <c r="E7" s="89"/>
      <c r="F7" s="89"/>
      <c r="G7" s="90">
        <v>20031475.850000001</v>
      </c>
      <c r="H7" s="91">
        <v>1259224.07</v>
      </c>
      <c r="I7" s="91"/>
      <c r="J7" s="91">
        <v>4606895.3099999996</v>
      </c>
      <c r="K7" s="90">
        <f t="shared" si="0"/>
        <v>4606895.3099999996</v>
      </c>
      <c r="L7" s="94"/>
      <c r="M7" s="94"/>
      <c r="N7" s="94"/>
      <c r="O7" s="94"/>
      <c r="P7" s="91">
        <v>207794.57</v>
      </c>
      <c r="Q7" s="94"/>
      <c r="R7" s="91">
        <v>1018650.47</v>
      </c>
      <c r="S7" s="94"/>
      <c r="T7" s="91">
        <v>10.56</v>
      </c>
      <c r="U7" s="94"/>
      <c r="V7" s="91">
        <v>735259.31</v>
      </c>
      <c r="W7" s="94"/>
      <c r="X7" s="94"/>
      <c r="Y7" s="94"/>
      <c r="Z7" s="91">
        <f t="shared" si="1"/>
        <v>13674160.180000002</v>
      </c>
      <c r="AA7" s="92">
        <v>13674160.18</v>
      </c>
      <c r="AB7" s="92">
        <f t="shared" si="2"/>
        <v>0</v>
      </c>
    </row>
    <row r="8" spans="1:28" hidden="1" x14ac:dyDescent="0.2">
      <c r="A8" s="93">
        <v>35430</v>
      </c>
      <c r="B8" s="94">
        <v>16129602.84</v>
      </c>
      <c r="C8" s="94">
        <v>36408.42</v>
      </c>
      <c r="D8" s="89"/>
      <c r="E8" s="89"/>
      <c r="F8" s="89"/>
      <c r="G8" s="90">
        <v>16093194.42</v>
      </c>
      <c r="H8" s="91">
        <v>2132104.91</v>
      </c>
      <c r="I8" s="91"/>
      <c r="J8" s="91">
        <v>3686789.78</v>
      </c>
      <c r="K8" s="90">
        <f t="shared" si="0"/>
        <v>3686789.78</v>
      </c>
      <c r="L8" s="94"/>
      <c r="M8" s="94"/>
      <c r="N8" s="94"/>
      <c r="O8" s="94"/>
      <c r="P8" s="91">
        <v>359956.37</v>
      </c>
      <c r="Q8" s="94"/>
      <c r="R8" s="91">
        <v>829653.19</v>
      </c>
      <c r="S8" s="94"/>
      <c r="T8" s="91">
        <v>1417.38</v>
      </c>
      <c r="U8" s="94"/>
      <c r="V8" s="91">
        <v>438048.75</v>
      </c>
      <c r="W8" s="94"/>
      <c r="X8" s="94"/>
      <c r="Y8" s="94"/>
      <c r="Z8" s="91">
        <f t="shared" si="1"/>
        <v>9521321.540000001</v>
      </c>
      <c r="AA8" s="92">
        <v>9521321.5399999991</v>
      </c>
      <c r="AB8" s="92">
        <f t="shared" si="2"/>
        <v>0</v>
      </c>
    </row>
    <row r="9" spans="1:28" hidden="1" x14ac:dyDescent="0.2">
      <c r="A9" s="88">
        <v>35520</v>
      </c>
      <c r="B9" s="89">
        <v>4693824.97</v>
      </c>
      <c r="C9" s="89">
        <v>544459.99</v>
      </c>
      <c r="D9" s="89"/>
      <c r="E9" s="89"/>
      <c r="F9" s="89"/>
      <c r="G9" s="90">
        <v>4149364.98</v>
      </c>
      <c r="H9" s="91">
        <v>3089995.04</v>
      </c>
      <c r="I9" s="91"/>
      <c r="J9" s="91">
        <v>1049646.58</v>
      </c>
      <c r="K9" s="90">
        <f t="shared" si="0"/>
        <v>1049646.58</v>
      </c>
      <c r="L9" s="89"/>
      <c r="M9" s="89"/>
      <c r="N9" s="89"/>
      <c r="O9" s="89"/>
      <c r="P9" s="91">
        <v>29630.06</v>
      </c>
      <c r="Q9" s="89"/>
      <c r="R9" s="91">
        <v>203446.04</v>
      </c>
      <c r="S9" s="89"/>
      <c r="T9" s="91">
        <v>2641.06</v>
      </c>
      <c r="U9" s="89"/>
      <c r="V9" s="91">
        <v>0</v>
      </c>
      <c r="W9" s="89"/>
      <c r="X9" s="89"/>
      <c r="Y9" s="89"/>
      <c r="Z9" s="91">
        <f t="shared" si="1"/>
        <v>-225993.80000000013</v>
      </c>
      <c r="AA9" s="92">
        <v>-225993.8</v>
      </c>
      <c r="AB9" s="92">
        <f t="shared" si="2"/>
        <v>0</v>
      </c>
    </row>
    <row r="10" spans="1:28" hidden="1" x14ac:dyDescent="0.2">
      <c r="A10" s="93">
        <v>35611</v>
      </c>
      <c r="B10" s="94">
        <v>2840040.72</v>
      </c>
      <c r="C10" s="94">
        <v>408731.67</v>
      </c>
      <c r="D10" s="89"/>
      <c r="E10" s="219">
        <v>39813</v>
      </c>
      <c r="F10" s="89"/>
      <c r="G10" s="90">
        <v>2431309.0499999998</v>
      </c>
      <c r="H10" s="91">
        <v>3528411.93</v>
      </c>
      <c r="I10" s="91"/>
      <c r="J10" s="91">
        <v>574200.76</v>
      </c>
      <c r="K10" s="90">
        <f t="shared" si="0"/>
        <v>574200.76</v>
      </c>
      <c r="L10" s="94"/>
      <c r="M10" s="94"/>
      <c r="N10" s="94"/>
      <c r="O10" s="94"/>
      <c r="P10" s="91">
        <v>137599.82</v>
      </c>
      <c r="Q10" s="94"/>
      <c r="R10" s="91">
        <v>54627.55</v>
      </c>
      <c r="S10" s="94"/>
      <c r="T10" s="91">
        <v>8935.5</v>
      </c>
      <c r="U10" s="94"/>
      <c r="V10" s="91">
        <v>0</v>
      </c>
      <c r="W10" s="94"/>
      <c r="X10" s="94"/>
      <c r="Y10" s="94"/>
      <c r="Z10" s="91">
        <f t="shared" si="1"/>
        <v>-1872466.5100000005</v>
      </c>
      <c r="AA10" s="92">
        <v>-1872466.51</v>
      </c>
      <c r="AB10" s="92">
        <f t="shared" si="2"/>
        <v>0</v>
      </c>
    </row>
    <row r="11" spans="1:28" hidden="1" x14ac:dyDescent="0.2">
      <c r="A11" s="93">
        <v>35703</v>
      </c>
      <c r="B11" s="94">
        <v>2860673.75</v>
      </c>
      <c r="C11" s="94">
        <v>647158.52</v>
      </c>
      <c r="D11" s="89"/>
      <c r="E11" s="89"/>
      <c r="F11" s="89"/>
      <c r="G11" s="90">
        <v>2213515.23</v>
      </c>
      <c r="H11" s="91">
        <v>3403773.37</v>
      </c>
      <c r="I11" s="91"/>
      <c r="J11" s="91">
        <v>647621.11</v>
      </c>
      <c r="K11" s="90">
        <f t="shared" si="0"/>
        <v>647621.11</v>
      </c>
      <c r="L11" s="94"/>
      <c r="M11" s="94"/>
      <c r="N11" s="94"/>
      <c r="O11" s="94"/>
      <c r="P11" s="91">
        <v>88890.36</v>
      </c>
      <c r="Q11" s="94"/>
      <c r="R11" s="91">
        <v>80437.61</v>
      </c>
      <c r="S11" s="94"/>
      <c r="T11" s="91">
        <v>146724.46</v>
      </c>
      <c r="U11" s="94"/>
      <c r="V11" s="91">
        <v>0</v>
      </c>
      <c r="W11" s="94"/>
      <c r="X11" s="94"/>
      <c r="Y11" s="94"/>
      <c r="Z11" s="91">
        <f t="shared" si="1"/>
        <v>-2153931.6800000002</v>
      </c>
      <c r="AA11" s="92">
        <v>-2153931.6800000002</v>
      </c>
      <c r="AB11" s="92">
        <f t="shared" si="2"/>
        <v>0</v>
      </c>
    </row>
    <row r="12" spans="1:28" hidden="1" x14ac:dyDescent="0.2">
      <c r="A12" s="93">
        <v>35795</v>
      </c>
      <c r="B12" s="94">
        <v>1123924.94</v>
      </c>
      <c r="C12" s="94">
        <v>230980.32</v>
      </c>
      <c r="D12" s="89"/>
      <c r="E12" s="89"/>
      <c r="F12" s="89"/>
      <c r="G12" s="90">
        <v>892944.62</v>
      </c>
      <c r="H12" s="91">
        <v>2922539</v>
      </c>
      <c r="I12" s="91"/>
      <c r="J12" s="91">
        <v>254020.05</v>
      </c>
      <c r="K12" s="90">
        <f t="shared" si="0"/>
        <v>254020.05</v>
      </c>
      <c r="L12" s="94"/>
      <c r="M12" s="94"/>
      <c r="N12" s="94"/>
      <c r="O12" s="94"/>
      <c r="P12" s="91">
        <v>16647.2</v>
      </c>
      <c r="Q12" s="94"/>
      <c r="R12" s="91">
        <v>26721.07</v>
      </c>
      <c r="S12" s="94"/>
      <c r="T12" s="91">
        <v>222237.68</v>
      </c>
      <c r="U12" s="94"/>
      <c r="V12" s="91">
        <v>0</v>
      </c>
      <c r="W12" s="94"/>
      <c r="X12" s="94"/>
      <c r="Y12" s="94"/>
      <c r="Z12" s="91">
        <f t="shared" si="1"/>
        <v>-2549220.38</v>
      </c>
      <c r="AA12" s="92">
        <v>-2549220.38</v>
      </c>
      <c r="AB12" s="92">
        <f t="shared" si="2"/>
        <v>0</v>
      </c>
    </row>
    <row r="13" spans="1:28" hidden="1" x14ac:dyDescent="0.2">
      <c r="A13" s="88">
        <v>35885</v>
      </c>
      <c r="B13" s="89">
        <v>567089.96</v>
      </c>
      <c r="C13" s="89">
        <v>800245.67</v>
      </c>
      <c r="D13" s="89"/>
      <c r="E13" s="89"/>
      <c r="F13" s="89"/>
      <c r="G13" s="90">
        <v>-233155.71</v>
      </c>
      <c r="H13" s="91">
        <v>2366015.0699999998</v>
      </c>
      <c r="I13" s="91"/>
      <c r="J13" s="91">
        <v>138610.89000000001</v>
      </c>
      <c r="K13" s="90">
        <f t="shared" si="0"/>
        <v>138610.89000000001</v>
      </c>
      <c r="L13" s="89"/>
      <c r="M13" s="89"/>
      <c r="N13" s="89"/>
      <c r="O13" s="89"/>
      <c r="P13" s="91">
        <v>33154.480000000003</v>
      </c>
      <c r="Q13" s="89"/>
      <c r="R13" s="91">
        <v>23762.06</v>
      </c>
      <c r="S13" s="89"/>
      <c r="T13" s="91">
        <v>35905.51</v>
      </c>
      <c r="U13" s="89"/>
      <c r="V13" s="91">
        <v>0</v>
      </c>
      <c r="W13" s="89"/>
      <c r="X13" s="89"/>
      <c r="Y13" s="89"/>
      <c r="Z13" s="91">
        <f t="shared" si="1"/>
        <v>-2830603.7199999997</v>
      </c>
      <c r="AA13" s="92">
        <v>-2830603.72</v>
      </c>
      <c r="AB13" s="92">
        <f t="shared" si="2"/>
        <v>0</v>
      </c>
    </row>
    <row r="14" spans="1:28" hidden="1" x14ac:dyDescent="0.2">
      <c r="A14" s="93">
        <v>35976</v>
      </c>
      <c r="B14" s="94">
        <v>48705</v>
      </c>
      <c r="C14" s="94">
        <v>-280281.96999999997</v>
      </c>
      <c r="D14" s="89"/>
      <c r="E14" s="89"/>
      <c r="F14" s="89"/>
      <c r="G14" s="90">
        <v>328986.96999999997</v>
      </c>
      <c r="H14" s="91">
        <v>2023245.86</v>
      </c>
      <c r="I14" s="91"/>
      <c r="J14" s="91">
        <v>10873.93</v>
      </c>
      <c r="K14" s="90">
        <f t="shared" si="0"/>
        <v>10873.93</v>
      </c>
      <c r="L14" s="94"/>
      <c r="M14" s="94"/>
      <c r="N14" s="94"/>
      <c r="O14" s="94"/>
      <c r="P14" s="91">
        <v>11015.32</v>
      </c>
      <c r="Q14" s="94"/>
      <c r="R14" s="91">
        <v>-5175</v>
      </c>
      <c r="S14" s="94"/>
      <c r="T14" s="91">
        <v>225221.16</v>
      </c>
      <c r="U14" s="94"/>
      <c r="V14" s="91">
        <v>0</v>
      </c>
      <c r="W14" s="94"/>
      <c r="X14" s="94"/>
      <c r="Y14" s="94"/>
      <c r="Z14" s="91">
        <f t="shared" si="1"/>
        <v>-1936194.3</v>
      </c>
      <c r="AA14" s="92">
        <v>-1936194.3</v>
      </c>
      <c r="AB14" s="92">
        <f t="shared" si="2"/>
        <v>0</v>
      </c>
    </row>
    <row r="15" spans="1:28" hidden="1" x14ac:dyDescent="0.2">
      <c r="A15" s="93">
        <v>36068</v>
      </c>
      <c r="B15" s="94">
        <v>54538</v>
      </c>
      <c r="C15" s="94">
        <v>-172537.53</v>
      </c>
      <c r="D15" s="89"/>
      <c r="E15" s="89"/>
      <c r="F15" s="89"/>
      <c r="G15" s="90">
        <v>227075.53</v>
      </c>
      <c r="H15" s="91">
        <v>1707628.78</v>
      </c>
      <c r="I15" s="91"/>
      <c r="J15" s="91">
        <v>12532.32</v>
      </c>
      <c r="K15" s="90">
        <f t="shared" si="0"/>
        <v>12532.32</v>
      </c>
      <c r="L15" s="94"/>
      <c r="M15" s="94"/>
      <c r="N15" s="94"/>
      <c r="O15" s="94"/>
      <c r="P15" s="91">
        <v>2969.62</v>
      </c>
      <c r="Q15" s="94"/>
      <c r="R15" s="91">
        <v>-1208.04</v>
      </c>
      <c r="S15" s="94"/>
      <c r="T15" s="91">
        <v>64963.9</v>
      </c>
      <c r="U15" s="94"/>
      <c r="V15" s="91">
        <v>0</v>
      </c>
      <c r="W15" s="94"/>
      <c r="X15" s="94"/>
      <c r="Y15" s="94"/>
      <c r="Z15" s="91">
        <f t="shared" si="1"/>
        <v>-1559811.05</v>
      </c>
      <c r="AA15" s="92">
        <v>-1559811.05</v>
      </c>
      <c r="AB15" s="92">
        <f t="shared" si="2"/>
        <v>0</v>
      </c>
    </row>
    <row r="16" spans="1:28" hidden="1" x14ac:dyDescent="0.2">
      <c r="A16" s="93">
        <v>2008</v>
      </c>
      <c r="B16" s="94"/>
      <c r="C16" s="94">
        <v>0.65</v>
      </c>
      <c r="D16" s="89"/>
      <c r="E16" s="89"/>
      <c r="F16" s="89"/>
      <c r="G16" s="90"/>
      <c r="H16" s="91"/>
      <c r="I16" s="91"/>
      <c r="J16" s="91"/>
      <c r="K16" s="90"/>
      <c r="L16" s="94"/>
      <c r="M16" s="94"/>
      <c r="N16" s="94"/>
      <c r="O16" s="94"/>
      <c r="P16" s="91"/>
      <c r="Q16" s="94"/>
      <c r="R16" s="91"/>
      <c r="S16" s="94"/>
      <c r="T16" s="91"/>
      <c r="U16" s="94"/>
      <c r="V16" s="91"/>
      <c r="W16" s="94"/>
      <c r="X16" s="94"/>
      <c r="Y16" s="94"/>
      <c r="Z16" s="91"/>
      <c r="AA16" s="92"/>
      <c r="AB16" s="92"/>
    </row>
    <row r="17" spans="1:28" hidden="1" x14ac:dyDescent="0.2">
      <c r="A17" s="93">
        <v>36160</v>
      </c>
      <c r="B17" s="94">
        <v>117070</v>
      </c>
      <c r="C17" s="94">
        <v>0.64</v>
      </c>
      <c r="D17" s="89"/>
      <c r="E17" s="89"/>
      <c r="F17" s="89"/>
      <c r="G17" s="90">
        <v>6454.3</v>
      </c>
      <c r="H17" s="91">
        <v>1424997.13</v>
      </c>
      <c r="I17" s="91"/>
      <c r="J17" s="91">
        <v>31982.880000000001</v>
      </c>
      <c r="K17" s="90">
        <f t="shared" si="0"/>
        <v>31982.880000000001</v>
      </c>
      <c r="L17" s="94"/>
      <c r="M17" s="94"/>
      <c r="N17" s="94"/>
      <c r="O17" s="94"/>
      <c r="P17" s="91">
        <v>7560.56</v>
      </c>
      <c r="Q17" s="94"/>
      <c r="R17" s="91">
        <v>51786.45</v>
      </c>
      <c r="S17" s="94"/>
      <c r="T17" s="91">
        <v>-272760.45</v>
      </c>
      <c r="U17" s="94"/>
      <c r="V17" s="91">
        <v>0</v>
      </c>
      <c r="W17" s="94"/>
      <c r="X17" s="94"/>
      <c r="Y17" s="94"/>
      <c r="Z17" s="91">
        <f t="shared" si="1"/>
        <v>-1237112.2699999998</v>
      </c>
      <c r="AA17" s="92">
        <v>-1237112.27</v>
      </c>
      <c r="AB17" s="92">
        <f t="shared" si="2"/>
        <v>0</v>
      </c>
    </row>
    <row r="18" spans="1:28" hidden="1" x14ac:dyDescent="0.2">
      <c r="A18" s="88">
        <v>36250</v>
      </c>
      <c r="B18" s="89">
        <v>-3864</v>
      </c>
      <c r="C18" s="89">
        <v>0.52</v>
      </c>
      <c r="D18" s="89"/>
      <c r="E18" s="89"/>
      <c r="F18" s="89"/>
      <c r="G18" s="90">
        <v>87131.1</v>
      </c>
      <c r="H18" s="91">
        <v>1078715.74</v>
      </c>
      <c r="I18" s="91"/>
      <c r="J18" s="91">
        <v>-1395.12</v>
      </c>
      <c r="K18" s="90">
        <f t="shared" si="0"/>
        <v>-1395.12</v>
      </c>
      <c r="L18" s="89"/>
      <c r="M18" s="89"/>
      <c r="N18" s="89"/>
      <c r="O18" s="89"/>
      <c r="P18" s="91">
        <v>5827.29</v>
      </c>
      <c r="Q18" s="89"/>
      <c r="R18" s="91">
        <v>902.79</v>
      </c>
      <c r="S18" s="89"/>
      <c r="T18" s="91">
        <v>11816.72</v>
      </c>
      <c r="U18" s="89"/>
      <c r="V18" s="91">
        <v>0</v>
      </c>
      <c r="W18" s="89"/>
      <c r="X18" s="89"/>
      <c r="Y18" s="89"/>
      <c r="Z18" s="91">
        <f t="shared" si="1"/>
        <v>-1008736.3200000001</v>
      </c>
      <c r="AA18" s="92">
        <v>-1008736.32</v>
      </c>
      <c r="AB18" s="92">
        <f t="shared" si="2"/>
        <v>0</v>
      </c>
    </row>
    <row r="19" spans="1:28" hidden="1" x14ac:dyDescent="0.2">
      <c r="A19" s="93">
        <v>36341</v>
      </c>
      <c r="B19" s="94">
        <v>-3255</v>
      </c>
      <c r="C19" s="94">
        <v>-10801.98</v>
      </c>
      <c r="D19" s="89"/>
      <c r="E19" s="89"/>
      <c r="F19" s="89"/>
      <c r="G19" s="90">
        <v>7546.98</v>
      </c>
      <c r="H19" s="91">
        <v>1270374.25</v>
      </c>
      <c r="I19" s="91"/>
      <c r="J19" s="91">
        <v>-3862.96</v>
      </c>
      <c r="K19" s="90">
        <f t="shared" si="0"/>
        <v>-3862.96</v>
      </c>
      <c r="L19" s="94"/>
      <c r="M19" s="94"/>
      <c r="N19" s="94"/>
      <c r="O19" s="94"/>
      <c r="P19" s="91">
        <v>9923.2000000000007</v>
      </c>
      <c r="Q19" s="94"/>
      <c r="R19" s="91">
        <v>-70.86</v>
      </c>
      <c r="S19" s="94"/>
      <c r="T19" s="91">
        <v>13354.6</v>
      </c>
      <c r="U19" s="94"/>
      <c r="V19" s="91">
        <v>0</v>
      </c>
      <c r="W19" s="94"/>
      <c r="X19" s="94"/>
      <c r="Y19" s="94"/>
      <c r="Z19" s="91">
        <f t="shared" si="1"/>
        <v>-1282171.25</v>
      </c>
      <c r="AA19" s="92">
        <v>-1282171.25</v>
      </c>
      <c r="AB19" s="92">
        <f t="shared" si="2"/>
        <v>0</v>
      </c>
    </row>
    <row r="20" spans="1:28" hidden="1" x14ac:dyDescent="0.2">
      <c r="A20" s="93">
        <v>36433</v>
      </c>
      <c r="B20" s="94">
        <v>-47866</v>
      </c>
      <c r="C20" s="94">
        <v>-84160.07</v>
      </c>
      <c r="D20" s="89"/>
      <c r="E20" s="89"/>
      <c r="F20" s="89"/>
      <c r="G20" s="90">
        <v>36294.07</v>
      </c>
      <c r="H20" s="91">
        <v>1006832.49</v>
      </c>
      <c r="I20" s="91"/>
      <c r="J20" s="91">
        <v>-11453.04</v>
      </c>
      <c r="K20" s="90">
        <f t="shared" si="0"/>
        <v>-11453.04</v>
      </c>
      <c r="L20" s="94"/>
      <c r="M20" s="94"/>
      <c r="N20" s="94"/>
      <c r="O20" s="94"/>
      <c r="P20" s="91">
        <v>5908.91</v>
      </c>
      <c r="Q20" s="94"/>
      <c r="R20" s="91">
        <v>-30.44</v>
      </c>
      <c r="S20" s="94"/>
      <c r="T20" s="91">
        <v>10619.61</v>
      </c>
      <c r="U20" s="94"/>
      <c r="V20" s="91">
        <v>0</v>
      </c>
      <c r="W20" s="94"/>
      <c r="X20" s="94"/>
      <c r="Y20" s="94"/>
      <c r="Z20" s="91">
        <f t="shared" si="1"/>
        <v>-975583.46000000008</v>
      </c>
      <c r="AA20" s="92">
        <v>-975583.46</v>
      </c>
      <c r="AB20" s="92">
        <f t="shared" si="2"/>
        <v>0</v>
      </c>
    </row>
    <row r="21" spans="1:28" hidden="1" x14ac:dyDescent="0.2">
      <c r="A21" s="93">
        <v>36525</v>
      </c>
      <c r="B21" s="94">
        <v>26304.35</v>
      </c>
      <c r="C21" s="94">
        <v>-52171.839999999997</v>
      </c>
      <c r="D21" s="89"/>
      <c r="E21" s="89"/>
      <c r="F21" s="89"/>
      <c r="G21" s="90">
        <v>78476.19</v>
      </c>
      <c r="H21" s="91">
        <v>1134016.28</v>
      </c>
      <c r="I21" s="91"/>
      <c r="J21" s="91">
        <v>7039.06</v>
      </c>
      <c r="K21" s="90">
        <f t="shared" si="0"/>
        <v>7039.06</v>
      </c>
      <c r="L21" s="94"/>
      <c r="M21" s="94"/>
      <c r="N21" s="94"/>
      <c r="O21" s="94"/>
      <c r="P21" s="91">
        <v>3545.11</v>
      </c>
      <c r="Q21" s="94"/>
      <c r="R21" s="91">
        <v>8866.7000000000007</v>
      </c>
      <c r="S21" s="94"/>
      <c r="T21" s="91">
        <v>11605.32</v>
      </c>
      <c r="U21" s="94"/>
      <c r="V21" s="91">
        <v>0</v>
      </c>
      <c r="W21" s="94"/>
      <c r="X21" s="94"/>
      <c r="Y21" s="94"/>
      <c r="Z21" s="91">
        <f t="shared" si="1"/>
        <v>-1086596.2800000003</v>
      </c>
      <c r="AA21" s="92">
        <v>-1086596.28</v>
      </c>
      <c r="AB21" s="92">
        <f t="shared" si="2"/>
        <v>0</v>
      </c>
    </row>
    <row r="22" spans="1:28" hidden="1" x14ac:dyDescent="0.2">
      <c r="A22" s="88">
        <v>36616</v>
      </c>
      <c r="B22" s="89">
        <v>213287.2</v>
      </c>
      <c r="C22" s="89">
        <v>0.57999999999999996</v>
      </c>
      <c r="D22" s="89"/>
      <c r="E22" s="89"/>
      <c r="F22" s="89"/>
      <c r="G22" s="90">
        <v>290848.21000000002</v>
      </c>
      <c r="H22" s="91">
        <v>692897.78</v>
      </c>
      <c r="I22" s="91"/>
      <c r="J22" s="91">
        <v>33190.379999999997</v>
      </c>
      <c r="K22" s="90">
        <f t="shared" si="0"/>
        <v>33190.379999999997</v>
      </c>
      <c r="L22" s="89"/>
      <c r="M22" s="89"/>
      <c r="N22" s="89"/>
      <c r="O22" s="89"/>
      <c r="P22" s="91">
        <v>3095.86</v>
      </c>
      <c r="Q22" s="89"/>
      <c r="R22" s="91">
        <v>1180.21</v>
      </c>
      <c r="S22" s="89"/>
      <c r="T22" s="91">
        <v>-16524.2</v>
      </c>
      <c r="U22" s="89"/>
      <c r="V22" s="91">
        <v>0</v>
      </c>
      <c r="W22" s="89"/>
      <c r="X22" s="89"/>
      <c r="Y22" s="89"/>
      <c r="Z22" s="91">
        <f t="shared" si="1"/>
        <v>-422991.82</v>
      </c>
      <c r="AA22" s="92">
        <v>-422991.82</v>
      </c>
      <c r="AB22" s="92">
        <f t="shared" si="2"/>
        <v>0</v>
      </c>
    </row>
    <row r="23" spans="1:28" hidden="1" x14ac:dyDescent="0.2">
      <c r="A23" s="93">
        <v>36707</v>
      </c>
      <c r="B23" s="94">
        <v>-324337.8</v>
      </c>
      <c r="C23" s="94">
        <v>0.7</v>
      </c>
      <c r="D23" s="89"/>
      <c r="E23" s="89"/>
      <c r="F23" s="89"/>
      <c r="G23" s="90">
        <v>-275341.96000000002</v>
      </c>
      <c r="H23" s="91">
        <v>1001818.45</v>
      </c>
      <c r="I23" s="91"/>
      <c r="J23" s="91">
        <v>-77852.61</v>
      </c>
      <c r="K23" s="90">
        <f t="shared" si="0"/>
        <v>-77852.61</v>
      </c>
      <c r="L23" s="94"/>
      <c r="M23" s="94"/>
      <c r="N23" s="94"/>
      <c r="O23" s="94"/>
      <c r="P23" s="91">
        <v>7806.89</v>
      </c>
      <c r="Q23" s="94"/>
      <c r="R23" s="91">
        <v>778.8</v>
      </c>
      <c r="S23" s="94"/>
      <c r="T23" s="91">
        <v>2240.71</v>
      </c>
      <c r="U23" s="94"/>
      <c r="V23" s="91">
        <v>0</v>
      </c>
      <c r="W23" s="94"/>
      <c r="X23" s="94"/>
      <c r="Y23" s="94"/>
      <c r="Z23" s="91">
        <f t="shared" si="1"/>
        <v>-1210134.1999999997</v>
      </c>
      <c r="AA23" s="92">
        <v>-1210134.2</v>
      </c>
      <c r="AB23" s="92">
        <f t="shared" si="2"/>
        <v>0</v>
      </c>
    </row>
    <row r="24" spans="1:28" hidden="1" x14ac:dyDescent="0.2">
      <c r="A24" s="93">
        <v>36799</v>
      </c>
      <c r="B24" s="94">
        <v>-20603.75</v>
      </c>
      <c r="C24" s="94">
        <v>-26381.41</v>
      </c>
      <c r="D24" s="89"/>
      <c r="E24" s="89"/>
      <c r="F24" s="89"/>
      <c r="G24" s="90">
        <v>5777.66</v>
      </c>
      <c r="H24" s="91">
        <v>1052197.67</v>
      </c>
      <c r="I24" s="91"/>
      <c r="J24" s="91">
        <v>-4893.58</v>
      </c>
      <c r="K24" s="90">
        <f t="shared" si="0"/>
        <v>-4893.58</v>
      </c>
      <c r="L24" s="94"/>
      <c r="M24" s="94"/>
      <c r="N24" s="94"/>
      <c r="O24" s="94"/>
      <c r="P24" s="91">
        <v>4291.17</v>
      </c>
      <c r="Q24" s="94"/>
      <c r="R24" s="91">
        <v>-92.45</v>
      </c>
      <c r="S24" s="94"/>
      <c r="T24" s="91">
        <v>9959.81</v>
      </c>
      <c r="U24" s="94"/>
      <c r="V24" s="91">
        <v>0</v>
      </c>
      <c r="W24" s="94"/>
      <c r="X24" s="94"/>
      <c r="Y24" s="94"/>
      <c r="Z24" s="91">
        <f t="shared" si="1"/>
        <v>-1055684.96</v>
      </c>
      <c r="AA24" s="92">
        <v>-1055684.96</v>
      </c>
      <c r="AB24" s="92">
        <f t="shared" si="2"/>
        <v>0</v>
      </c>
    </row>
    <row r="25" spans="1:28" hidden="1" x14ac:dyDescent="0.2">
      <c r="A25" s="93">
        <v>36891</v>
      </c>
      <c r="B25" s="94">
        <v>4717.1499999999996</v>
      </c>
      <c r="C25" s="94">
        <v>0.48</v>
      </c>
      <c r="D25" s="89"/>
      <c r="E25" s="89"/>
      <c r="F25" s="89"/>
      <c r="G25" s="90">
        <v>1084.8399999999999</v>
      </c>
      <c r="H25" s="91">
        <v>525743.26</v>
      </c>
      <c r="I25" s="91"/>
      <c r="J25" s="91">
        <v>23.28</v>
      </c>
      <c r="K25" s="90">
        <f t="shared" si="0"/>
        <v>23.28</v>
      </c>
      <c r="L25" s="94"/>
      <c r="M25" s="94"/>
      <c r="N25" s="94"/>
      <c r="O25" s="94"/>
      <c r="P25" s="91">
        <v>3575.16</v>
      </c>
      <c r="Q25" s="94"/>
      <c r="R25" s="91">
        <v>-1367.89</v>
      </c>
      <c r="S25" s="94"/>
      <c r="T25" s="91">
        <v>-97997.03</v>
      </c>
      <c r="U25" s="94"/>
      <c r="V25" s="91">
        <v>0</v>
      </c>
      <c r="W25" s="94"/>
      <c r="X25" s="94"/>
      <c r="Y25" s="94"/>
      <c r="Z25" s="91">
        <f t="shared" si="1"/>
        <v>-428891.94000000006</v>
      </c>
      <c r="AA25" s="92">
        <v>-428891.94</v>
      </c>
      <c r="AB25" s="92">
        <f t="shared" si="2"/>
        <v>0</v>
      </c>
    </row>
    <row r="26" spans="1:28" hidden="1" x14ac:dyDescent="0.2">
      <c r="A26" s="88">
        <v>36981</v>
      </c>
      <c r="B26" s="89">
        <v>1960.78</v>
      </c>
      <c r="C26" s="89">
        <v>-10551.49</v>
      </c>
      <c r="D26" s="89"/>
      <c r="E26" s="89"/>
      <c r="F26" s="89"/>
      <c r="G26" s="90">
        <v>12512.27</v>
      </c>
      <c r="H26" s="91">
        <v>703804.77</v>
      </c>
      <c r="I26" s="91"/>
      <c r="J26" s="91">
        <v>0</v>
      </c>
      <c r="K26" s="90">
        <f t="shared" si="0"/>
        <v>0</v>
      </c>
      <c r="L26" s="89"/>
      <c r="M26" s="89"/>
      <c r="N26" s="89"/>
      <c r="O26" s="89"/>
      <c r="P26" s="91">
        <v>-5061.6899999999996</v>
      </c>
      <c r="Q26" s="89"/>
      <c r="R26" s="91">
        <v>-62.32</v>
      </c>
      <c r="S26" s="89"/>
      <c r="T26" s="91">
        <v>5363.25</v>
      </c>
      <c r="U26" s="89"/>
      <c r="V26" s="91">
        <v>0</v>
      </c>
      <c r="W26" s="89"/>
      <c r="X26" s="89"/>
      <c r="Y26" s="89"/>
      <c r="Z26" s="91">
        <f t="shared" si="1"/>
        <v>-691531.74000000011</v>
      </c>
      <c r="AA26" s="92">
        <v>-691531.74</v>
      </c>
      <c r="AB26" s="92">
        <f t="shared" si="2"/>
        <v>0</v>
      </c>
    </row>
    <row r="27" spans="1:28" hidden="1" x14ac:dyDescent="0.2">
      <c r="A27" s="93">
        <v>37072</v>
      </c>
      <c r="B27" s="94">
        <v>-68648.22</v>
      </c>
      <c r="C27" s="94">
        <v>-88117.8</v>
      </c>
      <c r="D27" s="89"/>
      <c r="E27" s="89"/>
      <c r="F27" s="89"/>
      <c r="G27" s="90">
        <v>19469.580000000002</v>
      </c>
      <c r="H27" s="91">
        <v>391234.3</v>
      </c>
      <c r="I27" s="91"/>
      <c r="J27" s="91">
        <v>-11116.1</v>
      </c>
      <c r="K27" s="90">
        <f t="shared" si="0"/>
        <v>-11116.1</v>
      </c>
      <c r="L27" s="94"/>
      <c r="M27" s="94"/>
      <c r="N27" s="94"/>
      <c r="O27" s="94"/>
      <c r="P27" s="91">
        <v>395.33</v>
      </c>
      <c r="Q27" s="94"/>
      <c r="R27" s="91">
        <v>694.07</v>
      </c>
      <c r="S27" s="94"/>
      <c r="T27" s="91">
        <v>6551.19</v>
      </c>
      <c r="U27" s="94"/>
      <c r="V27" s="91">
        <v>0</v>
      </c>
      <c r="W27" s="94"/>
      <c r="X27" s="94"/>
      <c r="Y27" s="94"/>
      <c r="Z27" s="91">
        <f t="shared" si="1"/>
        <v>-368289.21</v>
      </c>
      <c r="AA27" s="92">
        <v>-368289.21</v>
      </c>
      <c r="AB27" s="92">
        <f t="shared" si="2"/>
        <v>0</v>
      </c>
    </row>
    <row r="28" spans="1:28" hidden="1" x14ac:dyDescent="0.2">
      <c r="A28" s="93">
        <v>37164</v>
      </c>
      <c r="B28" s="94">
        <v>-461.81</v>
      </c>
      <c r="C28" s="94">
        <v>-11564.2</v>
      </c>
      <c r="D28" s="89"/>
      <c r="E28" s="89"/>
      <c r="F28" s="89"/>
      <c r="G28" s="90">
        <v>11102.39</v>
      </c>
      <c r="H28" s="91">
        <v>-234905.58</v>
      </c>
      <c r="I28" s="91"/>
      <c r="J28" s="91">
        <v>-424.56</v>
      </c>
      <c r="K28" s="90">
        <f t="shared" si="0"/>
        <v>-424.56</v>
      </c>
      <c r="L28" s="94"/>
      <c r="M28" s="94"/>
      <c r="N28" s="94"/>
      <c r="O28" s="94"/>
      <c r="P28" s="91">
        <v>-24.38</v>
      </c>
      <c r="Q28" s="94"/>
      <c r="R28" s="91">
        <v>123.91</v>
      </c>
      <c r="S28" s="94"/>
      <c r="T28" s="91">
        <v>3232.23</v>
      </c>
      <c r="U28" s="94"/>
      <c r="V28" s="91">
        <v>0</v>
      </c>
      <c r="W28" s="94"/>
      <c r="X28" s="94"/>
      <c r="Y28" s="94"/>
      <c r="Z28" s="91">
        <f t="shared" si="1"/>
        <v>243100.76999999996</v>
      </c>
      <c r="AA28" s="92">
        <v>242780.77</v>
      </c>
      <c r="AB28" s="92">
        <f t="shared" si="2"/>
        <v>319.9999999999709</v>
      </c>
    </row>
    <row r="29" spans="1:28" hidden="1" x14ac:dyDescent="0.2">
      <c r="A29" s="93">
        <v>37256</v>
      </c>
      <c r="B29" s="94">
        <v>1960.78</v>
      </c>
      <c r="C29" s="94">
        <v>-5034</v>
      </c>
      <c r="D29" s="89"/>
      <c r="E29" s="89"/>
      <c r="F29" s="89"/>
      <c r="G29" s="90">
        <v>6994.78</v>
      </c>
      <c r="H29" s="91">
        <v>398289.53</v>
      </c>
      <c r="I29" s="91"/>
      <c r="J29" s="91">
        <v>0</v>
      </c>
      <c r="K29" s="90">
        <f t="shared" si="0"/>
        <v>0</v>
      </c>
      <c r="L29" s="94"/>
      <c r="M29" s="94"/>
      <c r="N29" s="94"/>
      <c r="O29" s="94"/>
      <c r="P29" s="91">
        <v>514.96</v>
      </c>
      <c r="Q29" s="94"/>
      <c r="R29" s="91">
        <v>0</v>
      </c>
      <c r="S29" s="94"/>
      <c r="T29" s="91">
        <v>2023.36</v>
      </c>
      <c r="U29" s="94"/>
      <c r="V29" s="91">
        <v>0</v>
      </c>
      <c r="W29" s="94"/>
      <c r="X29" s="94"/>
      <c r="Y29" s="94"/>
      <c r="Z29" s="91">
        <f t="shared" si="1"/>
        <v>-393833.07</v>
      </c>
      <c r="AA29" s="92">
        <v>-393833.07</v>
      </c>
      <c r="AB29" s="92">
        <f t="shared" si="2"/>
        <v>0</v>
      </c>
    </row>
    <row r="30" spans="1:28" hidden="1" x14ac:dyDescent="0.2">
      <c r="A30" s="93">
        <v>37346</v>
      </c>
      <c r="B30" s="94">
        <v>1307.19</v>
      </c>
      <c r="C30" s="94">
        <v>-10707.71</v>
      </c>
      <c r="D30" s="89"/>
      <c r="E30" s="89"/>
      <c r="F30" s="89"/>
      <c r="G30" s="90">
        <v>12014.9</v>
      </c>
      <c r="H30" s="91">
        <v>378961.26</v>
      </c>
      <c r="I30" s="91"/>
      <c r="J30" s="91">
        <v>0</v>
      </c>
      <c r="K30" s="90">
        <f t="shared" si="0"/>
        <v>0</v>
      </c>
      <c r="L30" s="94"/>
      <c r="M30" s="94"/>
      <c r="N30" s="94"/>
      <c r="O30" s="94"/>
      <c r="P30" s="91">
        <v>2950.48</v>
      </c>
      <c r="Q30" s="94"/>
      <c r="R30" s="91">
        <v>320.43</v>
      </c>
      <c r="S30" s="94"/>
      <c r="T30" s="91">
        <v>2371.5100000000002</v>
      </c>
      <c r="U30" s="94"/>
      <c r="V30" s="91">
        <v>0</v>
      </c>
      <c r="W30" s="94"/>
      <c r="X30" s="94"/>
      <c r="Y30" s="94"/>
      <c r="Z30" s="91">
        <f t="shared" si="1"/>
        <v>-372588.77999999997</v>
      </c>
      <c r="AA30" s="92">
        <v>-372588.78</v>
      </c>
      <c r="AB30" s="92">
        <f t="shared" si="2"/>
        <v>0</v>
      </c>
    </row>
    <row r="31" spans="1:28" hidden="1" x14ac:dyDescent="0.2">
      <c r="A31" s="93">
        <v>37437</v>
      </c>
      <c r="B31" s="94">
        <v>6120.78</v>
      </c>
      <c r="C31" s="94">
        <v>3438.94</v>
      </c>
      <c r="D31" s="89"/>
      <c r="E31" s="89"/>
      <c r="F31" s="89"/>
      <c r="G31" s="90">
        <v>2681.84</v>
      </c>
      <c r="H31" s="91">
        <v>460931.29</v>
      </c>
      <c r="I31" s="91"/>
      <c r="J31" s="91">
        <v>998.4</v>
      </c>
      <c r="K31" s="90">
        <f t="shared" si="0"/>
        <v>998.4</v>
      </c>
      <c r="L31" s="94"/>
      <c r="M31" s="94"/>
      <c r="N31" s="94"/>
      <c r="O31" s="94"/>
      <c r="P31" s="91">
        <v>974.34</v>
      </c>
      <c r="Q31" s="94"/>
      <c r="R31" s="91">
        <v>67.77</v>
      </c>
      <c r="S31" s="94"/>
      <c r="T31" s="91">
        <v>2105.7399999999998</v>
      </c>
      <c r="U31" s="94"/>
      <c r="V31" s="91">
        <v>0</v>
      </c>
      <c r="W31" s="94"/>
      <c r="X31" s="94"/>
      <c r="Y31" s="94"/>
      <c r="Z31" s="91">
        <f t="shared" si="1"/>
        <v>-462395.7</v>
      </c>
      <c r="AA31" s="92">
        <v>-462395.7</v>
      </c>
      <c r="AB31" s="92">
        <f t="shared" si="2"/>
        <v>0</v>
      </c>
    </row>
    <row r="32" spans="1:28" hidden="1" x14ac:dyDescent="0.2">
      <c r="A32" s="93">
        <v>37620</v>
      </c>
      <c r="B32" s="94">
        <v>1307.19</v>
      </c>
      <c r="C32" s="94">
        <v>-1499</v>
      </c>
      <c r="D32" s="89"/>
      <c r="E32" s="89"/>
      <c r="F32" s="89"/>
      <c r="G32" s="90">
        <v>2806.19</v>
      </c>
      <c r="H32" s="91">
        <v>80341.03</v>
      </c>
      <c r="I32" s="91"/>
      <c r="J32" s="91">
        <v>0</v>
      </c>
      <c r="K32" s="90">
        <f t="shared" si="0"/>
        <v>0</v>
      </c>
      <c r="L32" s="94"/>
      <c r="M32" s="94"/>
      <c r="N32" s="94"/>
      <c r="O32" s="94"/>
      <c r="P32" s="91">
        <v>4089.4</v>
      </c>
      <c r="Q32" s="94"/>
      <c r="R32" s="91">
        <v>0</v>
      </c>
      <c r="S32" s="94"/>
      <c r="T32" s="91">
        <v>1693.54</v>
      </c>
      <c r="U32" s="94"/>
      <c r="V32" s="91">
        <v>0</v>
      </c>
      <c r="W32" s="94"/>
      <c r="X32" s="94"/>
      <c r="Y32" s="94"/>
      <c r="Z32" s="91">
        <f t="shared" si="1"/>
        <v>-83317.779999999984</v>
      </c>
      <c r="AA32" s="92">
        <v>-83317.78</v>
      </c>
      <c r="AB32" s="92">
        <f t="shared" si="2"/>
        <v>0</v>
      </c>
    </row>
    <row r="33" spans="1:28" hidden="1" x14ac:dyDescent="0.2">
      <c r="A33" s="93">
        <v>37621</v>
      </c>
      <c r="B33" s="94">
        <v>1307.19</v>
      </c>
      <c r="C33" s="94">
        <v>0</v>
      </c>
      <c r="D33" s="89"/>
      <c r="E33" s="89"/>
      <c r="F33" s="89"/>
      <c r="G33" s="90">
        <v>1307.19</v>
      </c>
      <c r="H33" s="91">
        <v>119416.44</v>
      </c>
      <c r="I33" s="91"/>
      <c r="J33" s="91">
        <v>0</v>
      </c>
      <c r="K33" s="90">
        <f t="shared" si="0"/>
        <v>0</v>
      </c>
      <c r="L33" s="94"/>
      <c r="M33" s="94"/>
      <c r="N33" s="94"/>
      <c r="O33" s="94"/>
      <c r="P33" s="91">
        <v>6765.88</v>
      </c>
      <c r="Q33" s="94"/>
      <c r="R33" s="91">
        <v>0</v>
      </c>
      <c r="S33" s="94"/>
      <c r="T33" s="91">
        <v>0</v>
      </c>
      <c r="U33" s="94"/>
      <c r="V33" s="91">
        <v>0</v>
      </c>
      <c r="W33" s="94"/>
      <c r="X33" s="94"/>
      <c r="Y33" s="94"/>
      <c r="Z33" s="91">
        <f t="shared" si="1"/>
        <v>-124875.13</v>
      </c>
      <c r="AA33" s="92">
        <v>-124875.13</v>
      </c>
      <c r="AB33" s="92">
        <f t="shared" si="2"/>
        <v>0</v>
      </c>
    </row>
    <row r="34" spans="1:28" hidden="1" x14ac:dyDescent="0.2">
      <c r="A34" s="95">
        <v>37711</v>
      </c>
      <c r="B34" s="91">
        <v>653.59</v>
      </c>
      <c r="C34" s="91">
        <v>0</v>
      </c>
      <c r="D34" s="90"/>
      <c r="E34" s="90"/>
      <c r="F34" s="90"/>
      <c r="G34" s="90">
        <v>653.59</v>
      </c>
      <c r="H34" s="91">
        <v>153949.13</v>
      </c>
      <c r="I34" s="91"/>
      <c r="J34" s="91">
        <v>0</v>
      </c>
      <c r="K34" s="90">
        <f t="shared" si="0"/>
        <v>0</v>
      </c>
      <c r="L34" s="94"/>
      <c r="M34" s="94"/>
      <c r="N34" s="94"/>
      <c r="O34" s="94"/>
      <c r="P34" s="91">
        <v>2455.09</v>
      </c>
      <c r="Q34" s="91"/>
      <c r="R34" s="91">
        <v>0.81</v>
      </c>
      <c r="S34" s="91"/>
      <c r="T34" s="91">
        <v>0</v>
      </c>
      <c r="U34" s="91"/>
      <c r="V34" s="91">
        <v>0</v>
      </c>
      <c r="W34" s="91"/>
      <c r="X34" s="91"/>
      <c r="Y34" s="91"/>
      <c r="Z34" s="91">
        <f t="shared" si="1"/>
        <v>-155751.44</v>
      </c>
      <c r="AA34" s="92">
        <v>-155751.44</v>
      </c>
      <c r="AB34" s="92">
        <f t="shared" si="2"/>
        <v>0</v>
      </c>
    </row>
    <row r="35" spans="1:28" hidden="1" x14ac:dyDescent="0.2">
      <c r="A35" s="95">
        <v>37802</v>
      </c>
      <c r="B35" s="91">
        <v>-9067</v>
      </c>
      <c r="C35" s="91">
        <v>-4453.3</v>
      </c>
      <c r="D35" s="90"/>
      <c r="E35" s="90"/>
      <c r="F35" s="90"/>
      <c r="G35" s="90">
        <v>-4613.7</v>
      </c>
      <c r="H35" s="91">
        <v>-112562.55</v>
      </c>
      <c r="I35" s="91"/>
      <c r="J35" s="91">
        <v>-2176.08</v>
      </c>
      <c r="K35" s="90">
        <f t="shared" si="0"/>
        <v>-2176.08</v>
      </c>
      <c r="L35" s="94"/>
      <c r="M35" s="94"/>
      <c r="N35" s="94"/>
      <c r="O35" s="94"/>
      <c r="P35" s="91">
        <v>0</v>
      </c>
      <c r="Q35" s="91"/>
      <c r="R35" s="91">
        <v>-259.54000000000002</v>
      </c>
      <c r="S35" s="91"/>
      <c r="T35" s="91">
        <v>36.36</v>
      </c>
      <c r="U35" s="91"/>
      <c r="V35" s="91">
        <v>0</v>
      </c>
      <c r="W35" s="91"/>
      <c r="X35" s="91"/>
      <c r="Y35" s="91"/>
      <c r="Z35" s="91">
        <f t="shared" si="1"/>
        <v>110348.11</v>
      </c>
      <c r="AA35" s="92">
        <v>110348.11</v>
      </c>
      <c r="AB35" s="92">
        <f t="shared" si="2"/>
        <v>0</v>
      </c>
    </row>
    <row r="36" spans="1:28" hidden="1" x14ac:dyDescent="0.2">
      <c r="A36" s="95">
        <v>37894</v>
      </c>
      <c r="B36" s="91">
        <v>0</v>
      </c>
      <c r="C36" s="91">
        <v>0</v>
      </c>
      <c r="D36" s="90"/>
      <c r="E36" s="90"/>
      <c r="F36" s="90"/>
      <c r="G36" s="90">
        <v>0</v>
      </c>
      <c r="H36" s="91">
        <v>115323.49</v>
      </c>
      <c r="I36" s="91"/>
      <c r="J36" s="91">
        <v>0</v>
      </c>
      <c r="K36" s="90">
        <f t="shared" si="0"/>
        <v>0</v>
      </c>
      <c r="L36" s="94"/>
      <c r="M36" s="94"/>
      <c r="N36" s="94"/>
      <c r="O36" s="94"/>
      <c r="P36" s="91">
        <v>1350.92</v>
      </c>
      <c r="Q36" s="91"/>
      <c r="R36" s="91">
        <v>-5.86</v>
      </c>
      <c r="S36" s="91"/>
      <c r="T36" s="91">
        <v>0</v>
      </c>
      <c r="U36" s="91"/>
      <c r="V36" s="91">
        <v>0</v>
      </c>
      <c r="W36" s="91"/>
      <c r="X36" s="91"/>
      <c r="Y36" s="91"/>
      <c r="Z36" s="91">
        <f t="shared" si="1"/>
        <v>-116668.55</v>
      </c>
      <c r="AA36" s="92">
        <v>-116668.55</v>
      </c>
      <c r="AB36" s="92">
        <f t="shared" si="2"/>
        <v>0</v>
      </c>
    </row>
    <row r="37" spans="1:28" hidden="1" x14ac:dyDescent="0.2">
      <c r="A37" s="95">
        <v>37986</v>
      </c>
      <c r="B37" s="91">
        <v>0</v>
      </c>
      <c r="C37" s="91">
        <v>0</v>
      </c>
      <c r="D37" s="90"/>
      <c r="E37" s="90"/>
      <c r="F37" s="90"/>
      <c r="G37" s="90">
        <v>0</v>
      </c>
      <c r="H37" s="91">
        <v>189434.31</v>
      </c>
      <c r="I37" s="91"/>
      <c r="J37" s="91">
        <v>0</v>
      </c>
      <c r="K37" s="90">
        <f t="shared" si="0"/>
        <v>0</v>
      </c>
      <c r="L37" s="94"/>
      <c r="M37" s="94"/>
      <c r="N37" s="94"/>
      <c r="O37" s="94"/>
      <c r="P37" s="91">
        <v>13087.25</v>
      </c>
      <c r="Q37" s="91"/>
      <c r="R37" s="91">
        <v>2542.64</v>
      </c>
      <c r="S37" s="91"/>
      <c r="T37" s="91">
        <v>0</v>
      </c>
      <c r="U37" s="91"/>
      <c r="V37" s="91">
        <v>0</v>
      </c>
      <c r="W37" s="91"/>
      <c r="X37" s="91"/>
      <c r="Y37" s="91"/>
      <c r="Z37" s="91">
        <f t="shared" si="1"/>
        <v>-205064.2</v>
      </c>
      <c r="AA37" s="92">
        <v>-205064.2</v>
      </c>
      <c r="AB37" s="92">
        <f t="shared" si="2"/>
        <v>0</v>
      </c>
    </row>
    <row r="38" spans="1:28" hidden="1" x14ac:dyDescent="0.2">
      <c r="A38" s="95">
        <v>38077</v>
      </c>
      <c r="B38" s="91">
        <v>0</v>
      </c>
      <c r="C38" s="91">
        <v>0</v>
      </c>
      <c r="D38" s="90"/>
      <c r="E38" s="90"/>
      <c r="F38" s="90"/>
      <c r="G38" s="90">
        <v>0</v>
      </c>
      <c r="H38" s="91">
        <v>295665.68</v>
      </c>
      <c r="I38" s="91"/>
      <c r="J38" s="91">
        <v>0</v>
      </c>
      <c r="K38" s="90">
        <f t="shared" si="0"/>
        <v>0</v>
      </c>
      <c r="L38" s="94"/>
      <c r="M38" s="94"/>
      <c r="N38" s="94"/>
      <c r="O38" s="94"/>
      <c r="P38" s="91">
        <v>0</v>
      </c>
      <c r="Q38" s="91"/>
      <c r="R38" s="91">
        <v>0</v>
      </c>
      <c r="S38" s="91"/>
      <c r="T38" s="91">
        <v>24476.81</v>
      </c>
      <c r="U38" s="91"/>
      <c r="V38" s="91">
        <v>0</v>
      </c>
      <c r="W38" s="91"/>
      <c r="X38" s="91"/>
      <c r="Y38" s="91"/>
      <c r="Z38" s="91">
        <f t="shared" si="1"/>
        <v>-320142.49</v>
      </c>
      <c r="AA38" s="92">
        <v>-320142.49</v>
      </c>
      <c r="AB38" s="92">
        <f t="shared" si="2"/>
        <v>0</v>
      </c>
    </row>
    <row r="39" spans="1:28" hidden="1" x14ac:dyDescent="0.2">
      <c r="A39" s="95">
        <v>38168</v>
      </c>
      <c r="B39" s="91">
        <v>0</v>
      </c>
      <c r="C39" s="91">
        <v>0</v>
      </c>
      <c r="D39" s="90"/>
      <c r="E39" s="90"/>
      <c r="F39" s="90"/>
      <c r="G39" s="90">
        <v>0</v>
      </c>
      <c r="H39" s="91">
        <v>91860.05</v>
      </c>
      <c r="I39" s="91"/>
      <c r="J39" s="91">
        <v>0</v>
      </c>
      <c r="K39" s="90">
        <f t="shared" si="0"/>
        <v>0</v>
      </c>
      <c r="L39" s="94"/>
      <c r="M39" s="94"/>
      <c r="N39" s="94"/>
      <c r="O39" s="94"/>
      <c r="P39" s="91">
        <v>0</v>
      </c>
      <c r="Q39" s="91"/>
      <c r="R39" s="91">
        <v>0</v>
      </c>
      <c r="S39" s="91"/>
      <c r="T39" s="91">
        <v>4079.39</v>
      </c>
      <c r="U39" s="91"/>
      <c r="V39" s="91">
        <v>0</v>
      </c>
      <c r="W39" s="91"/>
      <c r="X39" s="91"/>
      <c r="Y39" s="91"/>
      <c r="Z39" s="91">
        <f t="shared" si="1"/>
        <v>-95939.44</v>
      </c>
      <c r="AA39" s="92">
        <v>-95939.44</v>
      </c>
      <c r="AB39" s="92">
        <f t="shared" si="2"/>
        <v>0</v>
      </c>
    </row>
    <row r="40" spans="1:28" hidden="1" x14ac:dyDescent="0.2">
      <c r="A40" s="95">
        <v>38260</v>
      </c>
      <c r="B40" s="91">
        <v>0</v>
      </c>
      <c r="C40" s="91">
        <v>0</v>
      </c>
      <c r="D40" s="90"/>
      <c r="E40" s="90"/>
      <c r="F40" s="90"/>
      <c r="G40" s="90">
        <v>0</v>
      </c>
      <c r="H40" s="91">
        <v>43637.98</v>
      </c>
      <c r="I40" s="91"/>
      <c r="J40" s="91">
        <v>0</v>
      </c>
      <c r="K40" s="90">
        <f t="shared" si="0"/>
        <v>0</v>
      </c>
      <c r="L40" s="94"/>
      <c r="M40" s="94"/>
      <c r="N40" s="94"/>
      <c r="O40" s="94"/>
      <c r="P40" s="91">
        <v>0</v>
      </c>
      <c r="Q40" s="91"/>
      <c r="R40" s="91">
        <v>0</v>
      </c>
      <c r="S40" s="91"/>
      <c r="T40" s="91">
        <v>921.75</v>
      </c>
      <c r="U40" s="91"/>
      <c r="V40" s="91">
        <v>0</v>
      </c>
      <c r="W40" s="91"/>
      <c r="X40" s="91"/>
      <c r="Y40" s="91"/>
      <c r="Z40" s="91">
        <f t="shared" si="1"/>
        <v>-44559.73</v>
      </c>
      <c r="AA40" s="92">
        <v>-44559.73</v>
      </c>
      <c r="AB40" s="92">
        <f t="shared" si="2"/>
        <v>0</v>
      </c>
    </row>
    <row r="41" spans="1:28" hidden="1" x14ac:dyDescent="0.2">
      <c r="A41" s="95">
        <v>38352</v>
      </c>
      <c r="B41" s="91">
        <v>0</v>
      </c>
      <c r="C41" s="91">
        <v>0</v>
      </c>
      <c r="D41" s="90"/>
      <c r="E41" s="90"/>
      <c r="F41" s="90"/>
      <c r="G41" s="90">
        <v>0</v>
      </c>
      <c r="H41" s="91">
        <v>82564.56</v>
      </c>
      <c r="I41" s="91"/>
      <c r="J41" s="91">
        <v>0</v>
      </c>
      <c r="K41" s="90">
        <f t="shared" si="0"/>
        <v>0</v>
      </c>
      <c r="L41" s="94"/>
      <c r="M41" s="94"/>
      <c r="N41" s="94"/>
      <c r="O41" s="94"/>
      <c r="P41" s="91">
        <v>0</v>
      </c>
      <c r="Q41" s="91"/>
      <c r="R41" s="91">
        <v>0</v>
      </c>
      <c r="S41" s="91"/>
      <c r="T41" s="91">
        <v>1211.5</v>
      </c>
      <c r="U41" s="91"/>
      <c r="V41" s="91">
        <v>0</v>
      </c>
      <c r="W41" s="91"/>
      <c r="X41" s="91"/>
      <c r="Y41" s="91"/>
      <c r="Z41" s="91">
        <f t="shared" si="1"/>
        <v>-83776.06</v>
      </c>
      <c r="AA41" s="92">
        <v>-83776.06</v>
      </c>
      <c r="AB41" s="92">
        <f t="shared" si="2"/>
        <v>0</v>
      </c>
    </row>
    <row r="42" spans="1:28" hidden="1" x14ac:dyDescent="0.2">
      <c r="A42" s="95">
        <v>38442</v>
      </c>
      <c r="B42" s="91">
        <v>0</v>
      </c>
      <c r="C42" s="91">
        <v>0</v>
      </c>
      <c r="D42" s="90"/>
      <c r="E42" s="90"/>
      <c r="F42" s="90"/>
      <c r="G42" s="90">
        <v>0</v>
      </c>
      <c r="H42" s="91">
        <v>627154.98</v>
      </c>
      <c r="I42" s="91"/>
      <c r="J42" s="91">
        <v>0</v>
      </c>
      <c r="K42" s="90">
        <f t="shared" si="0"/>
        <v>0</v>
      </c>
      <c r="L42" s="94"/>
      <c r="M42" s="94"/>
      <c r="N42" s="94"/>
      <c r="O42" s="94"/>
      <c r="P42" s="91">
        <v>0</v>
      </c>
      <c r="Q42" s="91"/>
      <c r="R42" s="91">
        <v>0</v>
      </c>
      <c r="S42" s="91"/>
      <c r="T42" s="91">
        <v>0</v>
      </c>
      <c r="U42" s="91"/>
      <c r="V42" s="91">
        <v>0</v>
      </c>
      <c r="W42" s="91"/>
      <c r="X42" s="91"/>
      <c r="Y42" s="91"/>
      <c r="Z42" s="91">
        <f t="shared" si="1"/>
        <v>-627154.98</v>
      </c>
      <c r="AA42" s="92">
        <v>-627154.98</v>
      </c>
      <c r="AB42" s="92">
        <f t="shared" si="2"/>
        <v>0</v>
      </c>
    </row>
    <row r="43" spans="1:28" hidden="1" x14ac:dyDescent="0.2">
      <c r="A43" s="95">
        <v>38533</v>
      </c>
      <c r="B43" s="91">
        <v>0</v>
      </c>
      <c r="C43" s="91">
        <v>0</v>
      </c>
      <c r="D43" s="90"/>
      <c r="E43" s="90"/>
      <c r="F43" s="90"/>
      <c r="G43" s="90">
        <v>0</v>
      </c>
      <c r="H43" s="91">
        <v>55122.36</v>
      </c>
      <c r="I43" s="91"/>
      <c r="J43" s="91">
        <v>0</v>
      </c>
      <c r="K43" s="90">
        <f t="shared" si="0"/>
        <v>0</v>
      </c>
      <c r="L43" s="94"/>
      <c r="M43" s="94"/>
      <c r="N43" s="94"/>
      <c r="O43" s="94"/>
      <c r="P43" s="91">
        <v>0</v>
      </c>
      <c r="Q43" s="91"/>
      <c r="R43" s="91">
        <v>0</v>
      </c>
      <c r="S43" s="91"/>
      <c r="T43" s="91">
        <v>0</v>
      </c>
      <c r="U43" s="91"/>
      <c r="V43" s="91">
        <v>0</v>
      </c>
      <c r="W43" s="91"/>
      <c r="X43" s="91"/>
      <c r="Y43" s="91"/>
      <c r="Z43" s="91">
        <f t="shared" si="1"/>
        <v>-55122.36</v>
      </c>
      <c r="AA43" s="92">
        <v>-55122.36</v>
      </c>
      <c r="AB43" s="92">
        <f t="shared" si="2"/>
        <v>0</v>
      </c>
    </row>
    <row r="44" spans="1:28" hidden="1" x14ac:dyDescent="0.2">
      <c r="A44" s="95">
        <v>38625</v>
      </c>
      <c r="B44" s="91">
        <v>61448</v>
      </c>
      <c r="C44" s="91">
        <v>0</v>
      </c>
      <c r="D44" s="90"/>
      <c r="E44" s="90"/>
      <c r="F44" s="90"/>
      <c r="G44" s="90">
        <v>61448</v>
      </c>
      <c r="H44" s="91">
        <v>66091.12</v>
      </c>
      <c r="I44" s="91"/>
      <c r="J44" s="91">
        <v>9441.6</v>
      </c>
      <c r="K44" s="90">
        <f t="shared" si="0"/>
        <v>9441.6</v>
      </c>
      <c r="L44" s="94"/>
      <c r="M44" s="94"/>
      <c r="N44" s="94"/>
      <c r="O44" s="94"/>
      <c r="P44" s="91">
        <v>0</v>
      </c>
      <c r="Q44" s="91"/>
      <c r="R44" s="91">
        <v>1576.48</v>
      </c>
      <c r="S44" s="91"/>
      <c r="T44" s="91">
        <v>0</v>
      </c>
      <c r="U44" s="91"/>
      <c r="V44" s="91">
        <v>0</v>
      </c>
      <c r="W44" s="91"/>
      <c r="X44" s="91"/>
      <c r="Y44" s="91"/>
      <c r="Z44" s="91">
        <f t="shared" si="1"/>
        <v>-15661.199999999995</v>
      </c>
      <c r="AA44" s="92">
        <v>-15661.2</v>
      </c>
      <c r="AB44" s="92">
        <f t="shared" si="2"/>
        <v>0</v>
      </c>
    </row>
    <row r="45" spans="1:28" hidden="1" x14ac:dyDescent="0.2">
      <c r="A45" s="95">
        <v>38717</v>
      </c>
      <c r="B45" s="91">
        <v>0</v>
      </c>
      <c r="C45" s="91">
        <v>0</v>
      </c>
      <c r="D45" s="90"/>
      <c r="E45" s="90"/>
      <c r="F45" s="90"/>
      <c r="G45" s="90">
        <v>0</v>
      </c>
      <c r="H45" s="91">
        <v>42716.56</v>
      </c>
      <c r="I45" s="91"/>
      <c r="J45" s="91">
        <v>0</v>
      </c>
      <c r="K45" s="90">
        <f t="shared" si="0"/>
        <v>0</v>
      </c>
      <c r="L45" s="94"/>
      <c r="M45" s="94"/>
      <c r="N45" s="94"/>
      <c r="O45" s="94"/>
      <c r="P45" s="91">
        <v>0</v>
      </c>
      <c r="Q45" s="91"/>
      <c r="R45" s="91">
        <v>0</v>
      </c>
      <c r="S45" s="91"/>
      <c r="T45" s="91">
        <v>0</v>
      </c>
      <c r="U45" s="91"/>
      <c r="V45" s="91">
        <v>0</v>
      </c>
      <c r="W45" s="91"/>
      <c r="X45" s="91"/>
      <c r="Y45" s="91"/>
      <c r="Z45" s="91">
        <f t="shared" si="1"/>
        <v>-42716.56</v>
      </c>
      <c r="AA45" s="92">
        <v>-42716.56</v>
      </c>
      <c r="AB45" s="92">
        <f t="shared" si="2"/>
        <v>0</v>
      </c>
    </row>
    <row r="46" spans="1:28" hidden="1" x14ac:dyDescent="0.2">
      <c r="A46" s="95">
        <v>38807</v>
      </c>
      <c r="B46" s="91">
        <v>0</v>
      </c>
      <c r="C46" s="91">
        <v>0</v>
      </c>
      <c r="D46" s="90"/>
      <c r="E46" s="90"/>
      <c r="F46" s="90"/>
      <c r="G46" s="90">
        <v>0</v>
      </c>
      <c r="H46" s="91">
        <v>46275.360000000001</v>
      </c>
      <c r="I46" s="91"/>
      <c r="J46" s="91">
        <v>0</v>
      </c>
      <c r="K46" s="90">
        <f t="shared" si="0"/>
        <v>0</v>
      </c>
      <c r="L46" s="94"/>
      <c r="M46" s="94"/>
      <c r="N46" s="94"/>
      <c r="O46" s="94"/>
      <c r="P46" s="91">
        <v>0</v>
      </c>
      <c r="Q46" s="91"/>
      <c r="R46" s="91">
        <v>0</v>
      </c>
      <c r="S46" s="91"/>
      <c r="T46" s="91">
        <v>247.6</v>
      </c>
      <c r="U46" s="91"/>
      <c r="V46" s="91">
        <v>0</v>
      </c>
      <c r="W46" s="91"/>
      <c r="X46" s="91"/>
      <c r="Y46" s="91"/>
      <c r="Z46" s="91">
        <f t="shared" si="1"/>
        <v>-46522.96</v>
      </c>
      <c r="AA46" s="92">
        <v>-46522.96</v>
      </c>
      <c r="AB46" s="92">
        <f t="shared" si="2"/>
        <v>0</v>
      </c>
    </row>
    <row r="47" spans="1:28" hidden="1" x14ac:dyDescent="0.2">
      <c r="A47" s="95">
        <v>38898</v>
      </c>
      <c r="B47" s="91">
        <v>0</v>
      </c>
      <c r="C47" s="91">
        <v>0</v>
      </c>
      <c r="D47" s="90"/>
      <c r="E47" s="90"/>
      <c r="F47" s="90"/>
      <c r="G47" s="90">
        <v>0</v>
      </c>
      <c r="H47" s="91">
        <v>23689.88</v>
      </c>
      <c r="I47" s="91"/>
      <c r="J47" s="91">
        <v>0</v>
      </c>
      <c r="K47" s="90">
        <f t="shared" si="0"/>
        <v>0</v>
      </c>
      <c r="L47" s="94"/>
      <c r="M47" s="94"/>
      <c r="N47" s="94"/>
      <c r="O47" s="94"/>
      <c r="P47" s="91">
        <v>0</v>
      </c>
      <c r="Q47" s="91"/>
      <c r="R47" s="91">
        <v>0</v>
      </c>
      <c r="S47" s="91"/>
      <c r="T47" s="91">
        <v>812.21</v>
      </c>
      <c r="U47" s="91"/>
      <c r="V47" s="91">
        <v>0</v>
      </c>
      <c r="W47" s="91"/>
      <c r="X47" s="91"/>
      <c r="Y47" s="91"/>
      <c r="Z47" s="91">
        <f t="shared" si="1"/>
        <v>-24502.09</v>
      </c>
      <c r="AA47" s="92">
        <v>-24502.09</v>
      </c>
      <c r="AB47" s="92">
        <f t="shared" si="2"/>
        <v>0</v>
      </c>
    </row>
    <row r="48" spans="1:28" hidden="1" x14ac:dyDescent="0.2">
      <c r="A48" s="95">
        <v>38990</v>
      </c>
      <c r="B48" s="91">
        <v>0</v>
      </c>
      <c r="C48" s="91">
        <v>0</v>
      </c>
      <c r="D48" s="90"/>
      <c r="E48" s="90"/>
      <c r="F48" s="90"/>
      <c r="G48" s="90">
        <v>0</v>
      </c>
      <c r="H48" s="91">
        <v>27821.85</v>
      </c>
      <c r="I48" s="91"/>
      <c r="J48" s="91">
        <v>0</v>
      </c>
      <c r="K48" s="90">
        <f t="shared" si="0"/>
        <v>0</v>
      </c>
      <c r="L48" s="94"/>
      <c r="M48" s="94">
        <v>0</v>
      </c>
      <c r="N48" s="94"/>
      <c r="O48" s="94"/>
      <c r="P48" s="91">
        <v>0</v>
      </c>
      <c r="Q48" s="91"/>
      <c r="R48" s="91">
        <v>0</v>
      </c>
      <c r="S48" s="91"/>
      <c r="T48" s="91">
        <v>2277.75</v>
      </c>
      <c r="U48" s="91"/>
      <c r="V48" s="91">
        <v>0</v>
      </c>
      <c r="W48" s="91"/>
      <c r="X48" s="91"/>
      <c r="Y48" s="91"/>
      <c r="Z48" s="91">
        <f t="shared" si="1"/>
        <v>-30099.599999999999</v>
      </c>
      <c r="AA48" s="92">
        <v>-30099.599999999999</v>
      </c>
      <c r="AB48" s="92">
        <f t="shared" si="2"/>
        <v>0</v>
      </c>
    </row>
    <row r="49" spans="1:28" hidden="1" x14ac:dyDescent="0.2">
      <c r="A49" s="95">
        <v>39082</v>
      </c>
      <c r="B49" s="91">
        <v>0</v>
      </c>
      <c r="C49" s="91">
        <v>0</v>
      </c>
      <c r="D49" s="90"/>
      <c r="E49" s="90"/>
      <c r="F49" s="90"/>
      <c r="G49" s="90">
        <v>0</v>
      </c>
      <c r="H49" s="91">
        <v>63282.53</v>
      </c>
      <c r="I49" s="91"/>
      <c r="J49" s="91">
        <v>0</v>
      </c>
      <c r="K49" s="90">
        <f t="shared" si="0"/>
        <v>0</v>
      </c>
      <c r="L49" s="94"/>
      <c r="M49" s="94">
        <v>0</v>
      </c>
      <c r="N49" s="94"/>
      <c r="O49" s="94"/>
      <c r="P49" s="91">
        <v>32.9</v>
      </c>
      <c r="Q49" s="91"/>
      <c r="R49" s="91">
        <v>84.54</v>
      </c>
      <c r="S49" s="91"/>
      <c r="T49" s="91">
        <v>748.85</v>
      </c>
      <c r="U49" s="91"/>
      <c r="V49" s="91">
        <v>0</v>
      </c>
      <c r="W49" s="91"/>
      <c r="X49" s="91"/>
      <c r="Y49" s="91"/>
      <c r="Z49" s="91">
        <f t="shared" si="1"/>
        <v>-64148.82</v>
      </c>
      <c r="AA49" s="92">
        <v>-64148.82</v>
      </c>
      <c r="AB49" s="92">
        <f t="shared" si="2"/>
        <v>0</v>
      </c>
    </row>
    <row r="50" spans="1:28" hidden="1" x14ac:dyDescent="0.2">
      <c r="A50" s="95">
        <v>39172</v>
      </c>
      <c r="B50" s="91">
        <v>0</v>
      </c>
      <c r="C50" s="91">
        <v>-156715.16</v>
      </c>
      <c r="D50" s="90"/>
      <c r="E50" s="90"/>
      <c r="F50" s="90"/>
      <c r="G50" s="90">
        <f>B50-C50</f>
        <v>156715.16</v>
      </c>
      <c r="H50" s="91">
        <v>36721.53</v>
      </c>
      <c r="I50" s="91"/>
      <c r="J50" s="91">
        <v>0</v>
      </c>
      <c r="K50" s="90">
        <f t="shared" si="0"/>
        <v>0</v>
      </c>
      <c r="L50" s="94"/>
      <c r="M50" s="94">
        <v>0</v>
      </c>
      <c r="N50" s="94"/>
      <c r="O50" s="94"/>
      <c r="P50" s="91">
        <v>4.84</v>
      </c>
      <c r="Q50" s="91"/>
      <c r="R50" s="91">
        <v>0</v>
      </c>
      <c r="S50" s="91"/>
      <c r="T50" s="91">
        <v>1962.61</v>
      </c>
      <c r="U50" s="91"/>
      <c r="V50" s="91">
        <v>0</v>
      </c>
      <c r="W50" s="91"/>
      <c r="X50" s="91"/>
      <c r="Y50" s="91"/>
      <c r="Z50" s="91">
        <f t="shared" si="1"/>
        <v>118026.18000000001</v>
      </c>
      <c r="AA50" s="92">
        <v>118026.18</v>
      </c>
      <c r="AB50" s="92">
        <f t="shared" si="2"/>
        <v>0</v>
      </c>
    </row>
    <row r="51" spans="1:28" hidden="1" x14ac:dyDescent="0.2">
      <c r="A51" s="95">
        <v>39263</v>
      </c>
      <c r="B51" s="91">
        <v>0</v>
      </c>
      <c r="C51" s="91">
        <v>-500</v>
      </c>
      <c r="D51" s="90">
        <v>0</v>
      </c>
      <c r="E51" s="90"/>
      <c r="F51" s="90">
        <v>0</v>
      </c>
      <c r="G51" s="90">
        <f>B51-C51</f>
        <v>500</v>
      </c>
      <c r="H51" s="91">
        <v>24919.34</v>
      </c>
      <c r="I51" s="91"/>
      <c r="J51" s="91">
        <v>0</v>
      </c>
      <c r="K51" s="90">
        <f t="shared" si="0"/>
        <v>0</v>
      </c>
      <c r="L51" s="94"/>
      <c r="M51" s="94">
        <v>0</v>
      </c>
      <c r="N51" s="94"/>
      <c r="O51" s="94"/>
      <c r="P51" s="91">
        <v>35.979999999999997</v>
      </c>
      <c r="Q51" s="91"/>
      <c r="R51" s="91">
        <v>0</v>
      </c>
      <c r="S51" s="91"/>
      <c r="T51" s="91">
        <v>2962.63</v>
      </c>
      <c r="U51" s="91"/>
      <c r="V51" s="91">
        <v>0</v>
      </c>
      <c r="W51" s="91"/>
      <c r="X51" s="91"/>
      <c r="Y51" s="91"/>
      <c r="Z51" s="91">
        <f t="shared" si="1"/>
        <v>-27417.95</v>
      </c>
      <c r="AA51" s="92">
        <v>-27417.95</v>
      </c>
      <c r="AB51" s="92">
        <f t="shared" si="2"/>
        <v>0</v>
      </c>
    </row>
    <row r="52" spans="1:28" hidden="1" x14ac:dyDescent="0.2">
      <c r="A52" s="95">
        <v>39355</v>
      </c>
      <c r="B52" s="91">
        <v>7440</v>
      </c>
      <c r="C52" s="91">
        <v>0</v>
      </c>
      <c r="D52" s="90">
        <v>0</v>
      </c>
      <c r="E52" s="90">
        <v>7440</v>
      </c>
      <c r="F52" s="90">
        <v>0</v>
      </c>
      <c r="G52" s="90">
        <f>B52-C52</f>
        <v>7440</v>
      </c>
      <c r="H52" s="91">
        <v>33405.06</v>
      </c>
      <c r="I52" s="91"/>
      <c r="J52" s="91">
        <v>0</v>
      </c>
      <c r="K52" s="90">
        <f t="shared" si="0"/>
        <v>0</v>
      </c>
      <c r="L52" s="94"/>
      <c r="M52" s="94">
        <v>0</v>
      </c>
      <c r="N52" s="94"/>
      <c r="O52" s="94"/>
      <c r="P52" s="91">
        <v>28.79</v>
      </c>
      <c r="Q52" s="91"/>
      <c r="R52" s="91">
        <v>0</v>
      </c>
      <c r="S52" s="91"/>
      <c r="T52" s="91">
        <v>4964.3900000000003</v>
      </c>
      <c r="U52" s="91"/>
      <c r="V52" s="91">
        <v>0</v>
      </c>
      <c r="W52" s="91"/>
      <c r="X52" s="91"/>
      <c r="Y52" s="91"/>
      <c r="Z52" s="91">
        <f t="shared" si="1"/>
        <v>-30958.239999999998</v>
      </c>
      <c r="AA52" s="92">
        <v>-30958.240000000002</v>
      </c>
      <c r="AB52" s="92">
        <f t="shared" si="2"/>
        <v>0</v>
      </c>
    </row>
    <row r="53" spans="1:28" hidden="1" x14ac:dyDescent="0.2">
      <c r="A53" s="95">
        <v>39447</v>
      </c>
      <c r="B53" s="91">
        <v>-7440</v>
      </c>
      <c r="C53" s="91">
        <v>-22213.119999999999</v>
      </c>
      <c r="D53" s="90">
        <v>0</v>
      </c>
      <c r="E53" s="90"/>
      <c r="F53" s="90">
        <v>0</v>
      </c>
      <c r="G53" s="90">
        <f>B53-C53</f>
        <v>14773.119999999999</v>
      </c>
      <c r="H53" s="91">
        <v>28308.63</v>
      </c>
      <c r="I53" s="91"/>
      <c r="J53" s="91">
        <v>0</v>
      </c>
      <c r="K53" s="90">
        <v>0</v>
      </c>
      <c r="L53" s="94"/>
      <c r="M53" s="94">
        <v>0</v>
      </c>
      <c r="N53" s="94"/>
      <c r="O53" s="94"/>
      <c r="P53" s="91">
        <v>28.72</v>
      </c>
      <c r="Q53" s="91"/>
      <c r="R53" s="91">
        <v>0</v>
      </c>
      <c r="S53" s="91"/>
      <c r="T53" s="91">
        <v>781.38</v>
      </c>
      <c r="U53" s="91"/>
      <c r="V53" s="91">
        <v>0</v>
      </c>
      <c r="W53" s="91"/>
      <c r="X53" s="91"/>
      <c r="Y53" s="91"/>
      <c r="Z53" s="91">
        <f t="shared" si="1"/>
        <v>-14345.61</v>
      </c>
      <c r="AA53" s="92">
        <v>-14345.61</v>
      </c>
      <c r="AB53" s="92">
        <f t="shared" si="2"/>
        <v>0</v>
      </c>
    </row>
    <row r="54" spans="1:28" hidden="1" x14ac:dyDescent="0.2">
      <c r="A54" s="95">
        <v>39538</v>
      </c>
      <c r="B54" s="91">
        <v>0</v>
      </c>
      <c r="C54" s="91">
        <v>-22213.119999999999</v>
      </c>
      <c r="D54" s="90">
        <v>0</v>
      </c>
      <c r="E54" s="90">
        <v>22213.119999999999</v>
      </c>
      <c r="F54" s="90">
        <v>0</v>
      </c>
      <c r="G54" s="90">
        <f>B54-C54</f>
        <v>22213.119999999999</v>
      </c>
      <c r="H54" s="91">
        <v>48149.8</v>
      </c>
      <c r="I54" s="91"/>
      <c r="J54" s="91">
        <v>0</v>
      </c>
      <c r="K54" s="90">
        <v>0</v>
      </c>
      <c r="L54" s="94"/>
      <c r="M54" s="94">
        <v>0</v>
      </c>
      <c r="N54" s="94"/>
      <c r="O54" s="94"/>
      <c r="P54" s="91">
        <v>62.31</v>
      </c>
      <c r="Q54" s="91"/>
      <c r="R54" s="91">
        <v>0</v>
      </c>
      <c r="S54" s="91"/>
      <c r="T54" s="91">
        <v>22.5</v>
      </c>
      <c r="U54" s="91"/>
      <c r="V54" s="91">
        <v>0</v>
      </c>
      <c r="W54" s="91"/>
      <c r="X54" s="91"/>
      <c r="Y54" s="91"/>
      <c r="Z54" s="91">
        <f t="shared" si="1"/>
        <v>-26021.490000000005</v>
      </c>
      <c r="AA54" s="92">
        <v>-26021.49</v>
      </c>
      <c r="AB54" s="92">
        <f t="shared" si="2"/>
        <v>0</v>
      </c>
    </row>
    <row r="55" spans="1:28" hidden="1" x14ac:dyDescent="0.2">
      <c r="A55" s="95">
        <v>39629</v>
      </c>
      <c r="B55" s="91">
        <v>0</v>
      </c>
      <c r="C55" s="91">
        <v>0</v>
      </c>
      <c r="D55" s="90">
        <v>0</v>
      </c>
      <c r="E55" s="90">
        <v>0</v>
      </c>
      <c r="F55" s="90">
        <v>0</v>
      </c>
      <c r="G55" s="90">
        <v>0</v>
      </c>
      <c r="H55" s="91">
        <v>27835.01</v>
      </c>
      <c r="I55" s="91"/>
      <c r="J55" s="91">
        <v>0</v>
      </c>
      <c r="K55" s="90">
        <v>0</v>
      </c>
      <c r="L55" s="94"/>
      <c r="M55" s="94">
        <v>0</v>
      </c>
      <c r="N55" s="94"/>
      <c r="O55" s="94"/>
      <c r="P55" s="91">
        <v>42.38</v>
      </c>
      <c r="Q55" s="91"/>
      <c r="R55" s="91">
        <v>0</v>
      </c>
      <c r="S55" s="91"/>
      <c r="T55" s="91">
        <v>50.9</v>
      </c>
      <c r="U55" s="91"/>
      <c r="V55" s="91">
        <v>0</v>
      </c>
      <c r="W55" s="91"/>
      <c r="X55" s="91"/>
      <c r="Y55" s="91"/>
      <c r="Z55" s="91">
        <f t="shared" si="1"/>
        <v>-27928.29</v>
      </c>
      <c r="AA55" s="92">
        <v>-31128.29</v>
      </c>
      <c r="AB55" s="92">
        <f t="shared" si="2"/>
        <v>3200</v>
      </c>
    </row>
    <row r="56" spans="1:28" hidden="1" x14ac:dyDescent="0.2">
      <c r="A56" s="95">
        <v>39721</v>
      </c>
      <c r="B56" s="91">
        <v>-184701</v>
      </c>
      <c r="C56" s="91">
        <v>-7404.37</v>
      </c>
      <c r="D56" s="90">
        <v>0</v>
      </c>
      <c r="E56" s="90">
        <v>-177296.63</v>
      </c>
      <c r="F56" s="90">
        <v>0</v>
      </c>
      <c r="G56" s="90">
        <f t="shared" ref="G56:G61" si="3">B56-C56</f>
        <v>-177296.63</v>
      </c>
      <c r="H56" s="91">
        <v>36407.449999999997</v>
      </c>
      <c r="I56" s="91"/>
      <c r="J56" s="91">
        <v>-1964.4</v>
      </c>
      <c r="K56" s="90">
        <v>-1964.4</v>
      </c>
      <c r="L56" s="94"/>
      <c r="M56" s="94">
        <v>0</v>
      </c>
      <c r="N56" s="94"/>
      <c r="O56" s="94"/>
      <c r="P56" s="91">
        <v>298.89</v>
      </c>
      <c r="Q56" s="91"/>
      <c r="R56" s="91">
        <v>0</v>
      </c>
      <c r="S56" s="91"/>
      <c r="T56" s="91">
        <v>96.03</v>
      </c>
      <c r="U56" s="91"/>
      <c r="V56" s="91">
        <v>0</v>
      </c>
      <c r="W56" s="91"/>
      <c r="X56" s="91"/>
      <c r="Y56" s="91"/>
      <c r="Z56" s="91">
        <f t="shared" si="1"/>
        <v>-212134.60000000003</v>
      </c>
      <c r="AA56" s="92">
        <v>-212134.6</v>
      </c>
      <c r="AB56" s="92">
        <f t="shared" si="2"/>
        <v>0</v>
      </c>
    </row>
    <row r="57" spans="1:28" hidden="1" x14ac:dyDescent="0.2">
      <c r="A57" s="95">
        <v>39813</v>
      </c>
      <c r="B57" s="91">
        <v>0</v>
      </c>
      <c r="C57" s="91">
        <v>-11106.56</v>
      </c>
      <c r="D57" s="90">
        <v>0</v>
      </c>
      <c r="E57" s="90">
        <f>B57-C57</f>
        <v>11106.56</v>
      </c>
      <c r="F57" s="90">
        <v>0</v>
      </c>
      <c r="G57" s="90">
        <f t="shared" si="3"/>
        <v>11106.56</v>
      </c>
      <c r="H57" s="91">
        <v>140203.49</v>
      </c>
      <c r="I57" s="91"/>
      <c r="J57" s="91">
        <v>0</v>
      </c>
      <c r="K57" s="90">
        <v>0</v>
      </c>
      <c r="L57" s="94"/>
      <c r="M57" s="94">
        <v>0</v>
      </c>
      <c r="N57" s="94"/>
      <c r="O57" s="94"/>
      <c r="P57" s="91">
        <v>-55.13</v>
      </c>
      <c r="Q57" s="91"/>
      <c r="R57" s="91">
        <v>0</v>
      </c>
      <c r="S57" s="91"/>
      <c r="T57" s="91">
        <v>0</v>
      </c>
      <c r="U57" s="91"/>
      <c r="V57" s="91">
        <v>0</v>
      </c>
      <c r="W57" s="91"/>
      <c r="X57" s="91"/>
      <c r="Y57" s="91"/>
      <c r="Z57" s="91">
        <f t="shared" si="1"/>
        <v>-129041.79999999999</v>
      </c>
      <c r="AA57" s="92">
        <v>-129041.8</v>
      </c>
      <c r="AB57" s="92">
        <f t="shared" si="2"/>
        <v>0</v>
      </c>
    </row>
    <row r="58" spans="1:28" hidden="1" x14ac:dyDescent="0.2">
      <c r="A58" s="95">
        <v>39903</v>
      </c>
      <c r="B58" s="91">
        <v>0</v>
      </c>
      <c r="C58" s="91">
        <v>-11106.56</v>
      </c>
      <c r="D58" s="90">
        <v>0</v>
      </c>
      <c r="E58" s="90">
        <f>B58-C58</f>
        <v>11106.56</v>
      </c>
      <c r="F58" s="90">
        <v>0</v>
      </c>
      <c r="G58" s="90">
        <f t="shared" si="3"/>
        <v>11106.56</v>
      </c>
      <c r="H58" s="91">
        <v>30741.69</v>
      </c>
      <c r="I58" s="91"/>
      <c r="J58" s="91">
        <v>0</v>
      </c>
      <c r="K58" s="90">
        <v>0</v>
      </c>
      <c r="L58" s="94"/>
      <c r="M58" s="94">
        <v>0</v>
      </c>
      <c r="N58" s="94"/>
      <c r="O58" s="94"/>
      <c r="P58" s="91">
        <v>15.91</v>
      </c>
      <c r="Q58" s="91"/>
      <c r="R58" s="91">
        <v>0</v>
      </c>
      <c r="S58" s="91"/>
      <c r="T58" s="91">
        <v>27.32</v>
      </c>
      <c r="U58" s="91"/>
      <c r="V58" s="91">
        <v>0</v>
      </c>
      <c r="W58" s="91"/>
      <c r="X58" s="91"/>
      <c r="Y58" s="91"/>
      <c r="Z58" s="91">
        <f t="shared" si="1"/>
        <v>-19678.359999999997</v>
      </c>
      <c r="AA58" s="92">
        <v>-19678.36</v>
      </c>
      <c r="AB58" s="92">
        <f t="shared" si="2"/>
        <v>0</v>
      </c>
    </row>
    <row r="59" spans="1:28" hidden="1" x14ac:dyDescent="0.2">
      <c r="A59" s="95">
        <v>39994</v>
      </c>
      <c r="B59" s="91">
        <v>0</v>
      </c>
      <c r="C59" s="91">
        <v>-14808.75</v>
      </c>
      <c r="D59" s="90">
        <v>0</v>
      </c>
      <c r="E59" s="90">
        <f>B59-C59</f>
        <v>14808.75</v>
      </c>
      <c r="F59" s="90">
        <v>0</v>
      </c>
      <c r="G59" s="90">
        <f t="shared" si="3"/>
        <v>14808.75</v>
      </c>
      <c r="H59" s="91">
        <v>29784.48</v>
      </c>
      <c r="I59" s="91"/>
      <c r="J59" s="91">
        <v>0</v>
      </c>
      <c r="K59" s="90">
        <v>0</v>
      </c>
      <c r="L59" s="94"/>
      <c r="M59" s="94">
        <v>0</v>
      </c>
      <c r="N59" s="94"/>
      <c r="O59" s="94"/>
      <c r="P59" s="91">
        <v>2.2999999999999998</v>
      </c>
      <c r="Q59" s="91"/>
      <c r="R59" s="91">
        <v>0</v>
      </c>
      <c r="S59" s="91"/>
      <c r="T59" s="91">
        <v>238.48</v>
      </c>
      <c r="U59" s="91"/>
      <c r="V59" s="91">
        <v>0</v>
      </c>
      <c r="W59" s="91"/>
      <c r="X59" s="91"/>
      <c r="Y59" s="91"/>
      <c r="Z59" s="91">
        <f t="shared" si="1"/>
        <v>-15216.509999999998</v>
      </c>
      <c r="AA59" s="92">
        <v>-15216.51</v>
      </c>
      <c r="AB59" s="92">
        <f t="shared" si="2"/>
        <v>0</v>
      </c>
    </row>
    <row r="60" spans="1:28" hidden="1" x14ac:dyDescent="0.2">
      <c r="A60" s="95">
        <v>40086</v>
      </c>
      <c r="B60" s="91">
        <v>0</v>
      </c>
      <c r="C60" s="91">
        <v>-7404.38</v>
      </c>
      <c r="D60" s="90">
        <v>0</v>
      </c>
      <c r="E60" s="90">
        <f>B60-C60</f>
        <v>7404.38</v>
      </c>
      <c r="F60" s="90">
        <v>0</v>
      </c>
      <c r="G60" s="90">
        <f t="shared" si="3"/>
        <v>7404.38</v>
      </c>
      <c r="H60" s="91">
        <v>25960.52</v>
      </c>
      <c r="I60" s="91"/>
      <c r="J60" s="91">
        <v>0</v>
      </c>
      <c r="K60" s="90">
        <v>0</v>
      </c>
      <c r="L60" s="94"/>
      <c r="M60" s="94">
        <v>0</v>
      </c>
      <c r="N60" s="94"/>
      <c r="O60" s="94"/>
      <c r="P60" s="91">
        <v>5</v>
      </c>
      <c r="Q60" s="91"/>
      <c r="R60" s="91">
        <v>0</v>
      </c>
      <c r="S60" s="91"/>
      <c r="T60" s="91">
        <v>213.75</v>
      </c>
      <c r="U60" s="91"/>
      <c r="V60" s="91">
        <v>0</v>
      </c>
      <c r="W60" s="91"/>
      <c r="X60" s="91"/>
      <c r="Y60" s="91"/>
      <c r="Z60" s="91">
        <f t="shared" si="1"/>
        <v>-18774.89</v>
      </c>
      <c r="AA60" s="92">
        <v>-18774.89</v>
      </c>
      <c r="AB60" s="92">
        <f t="shared" si="2"/>
        <v>0</v>
      </c>
    </row>
    <row r="61" spans="1:28" hidden="1" x14ac:dyDescent="0.2">
      <c r="A61" s="95">
        <v>40178</v>
      </c>
      <c r="B61" s="91">
        <v>0</v>
      </c>
      <c r="C61" s="91">
        <v>-14808.75</v>
      </c>
      <c r="D61" s="90">
        <v>0</v>
      </c>
      <c r="E61" s="90">
        <f>B61-C61</f>
        <v>14808.75</v>
      </c>
      <c r="F61" s="90">
        <v>0</v>
      </c>
      <c r="G61" s="90">
        <f t="shared" si="3"/>
        <v>14808.75</v>
      </c>
      <c r="H61" s="91">
        <v>22346.95</v>
      </c>
      <c r="I61" s="91"/>
      <c r="J61" s="91">
        <v>0</v>
      </c>
      <c r="K61" s="90">
        <v>0</v>
      </c>
      <c r="L61" s="94"/>
      <c r="M61" s="94">
        <v>0</v>
      </c>
      <c r="N61" s="94"/>
      <c r="O61" s="94"/>
      <c r="P61" s="91">
        <v>3.01</v>
      </c>
      <c r="Q61" s="91"/>
      <c r="R61" s="91">
        <v>0</v>
      </c>
      <c r="S61" s="91"/>
      <c r="T61" s="91">
        <v>149.29</v>
      </c>
      <c r="U61" s="91"/>
      <c r="V61" s="91">
        <v>0</v>
      </c>
      <c r="W61" s="91"/>
      <c r="X61" s="91"/>
      <c r="Y61" s="91"/>
      <c r="Z61" s="91">
        <f t="shared" si="1"/>
        <v>-7690.5000000000009</v>
      </c>
      <c r="AA61" s="92">
        <v>-7690.5</v>
      </c>
      <c r="AB61" s="92">
        <f t="shared" si="2"/>
        <v>0</v>
      </c>
    </row>
    <row r="62" spans="1:28" hidden="1" x14ac:dyDescent="0.2">
      <c r="A62" s="140">
        <v>40268</v>
      </c>
      <c r="B62" s="91" t="s">
        <v>224</v>
      </c>
      <c r="C62" s="91"/>
      <c r="D62" s="90"/>
      <c r="E62" s="90"/>
      <c r="F62" s="90"/>
      <c r="G62" s="90"/>
      <c r="H62" s="91"/>
      <c r="I62" s="91"/>
      <c r="J62" s="91"/>
      <c r="K62" s="90"/>
      <c r="L62" s="94"/>
      <c r="M62" s="94"/>
      <c r="N62" s="94"/>
      <c r="O62" s="94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2"/>
      <c r="AB62" s="92"/>
    </row>
    <row r="63" spans="1:28" hidden="1" x14ac:dyDescent="0.2">
      <c r="A63" s="95">
        <v>40359</v>
      </c>
      <c r="B63" s="91"/>
      <c r="C63" s="91"/>
      <c r="D63" s="90"/>
      <c r="E63" s="90"/>
      <c r="F63" s="90"/>
      <c r="G63" s="90"/>
      <c r="H63" s="91"/>
      <c r="I63" s="91"/>
      <c r="J63" s="91"/>
      <c r="K63" s="90"/>
      <c r="L63" s="94"/>
      <c r="M63" s="94"/>
      <c r="N63" s="94"/>
      <c r="O63" s="94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2"/>
      <c r="AB63" s="92"/>
    </row>
    <row r="64" spans="1:28" hidden="1" x14ac:dyDescent="0.2">
      <c r="A64" s="95"/>
      <c r="B64" s="96">
        <f t="shared" ref="B64:H64" si="4">SUM(B5:B61)</f>
        <v>86301351.61999999</v>
      </c>
      <c r="C64" s="96">
        <f t="shared" si="4"/>
        <v>1644884.0300000003</v>
      </c>
      <c r="D64" s="96">
        <f t="shared" si="4"/>
        <v>0</v>
      </c>
      <c r="E64" s="96">
        <f t="shared" si="4"/>
        <v>-48595.510000000017</v>
      </c>
      <c r="F64" s="96">
        <f t="shared" si="4"/>
        <v>0</v>
      </c>
      <c r="G64" s="96">
        <f t="shared" si="4"/>
        <v>84759775.100000009</v>
      </c>
      <c r="H64" s="96">
        <f t="shared" si="4"/>
        <v>36818573.560000017</v>
      </c>
      <c r="I64" s="96">
        <f>SUM(I5:I60)</f>
        <v>0</v>
      </c>
      <c r="J64" s="96">
        <f>SUM(J5:J61)</f>
        <v>19710890.160000008</v>
      </c>
      <c r="K64" s="96">
        <f>SUM(K5:K61)</f>
        <v>19710890.160000008</v>
      </c>
      <c r="L64" s="97">
        <f>K64/G64</f>
        <v>0.2325500526251397</v>
      </c>
      <c r="M64" s="96">
        <f>SUM(M5:M61)</f>
        <v>0</v>
      </c>
      <c r="N64" s="96">
        <f t="shared" ref="N64:Y64" si="5">SUM(N5:N56)</f>
        <v>0</v>
      </c>
      <c r="O64" s="96"/>
      <c r="P64" s="96">
        <f>SUM(P5:P61)</f>
        <v>1459352.7400000002</v>
      </c>
      <c r="Q64" s="96">
        <f t="shared" si="5"/>
        <v>0</v>
      </c>
      <c r="R64" s="96">
        <f>SUM(R5:R61)</f>
        <v>4127755.95</v>
      </c>
      <c r="S64" s="96">
        <f t="shared" si="5"/>
        <v>0</v>
      </c>
      <c r="T64" s="96">
        <f>SUM(T5:T61)</f>
        <v>450162.86</v>
      </c>
      <c r="U64" s="96">
        <f t="shared" si="5"/>
        <v>0</v>
      </c>
      <c r="V64" s="96">
        <f>SUM(V5:V61)</f>
        <v>2390152</v>
      </c>
      <c r="W64" s="96">
        <f t="shared" si="5"/>
        <v>0</v>
      </c>
      <c r="X64" s="96">
        <f t="shared" si="5"/>
        <v>0</v>
      </c>
      <c r="Y64" s="96">
        <f t="shared" si="5"/>
        <v>0</v>
      </c>
      <c r="Z64" s="96">
        <f>SUM(Z5:Z61)</f>
        <v>24583191.829999998</v>
      </c>
      <c r="AA64" s="92"/>
      <c r="AB64" s="92"/>
    </row>
    <row r="65" spans="1:28" hidden="1" x14ac:dyDescent="0.2">
      <c r="A65" s="98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100"/>
      <c r="M65" s="100"/>
      <c r="N65" s="100"/>
      <c r="O65" s="100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101">
        <f>ROUND(G64-H64-J64-P64-R64-T64+V64,2)</f>
        <v>24583191.829999998</v>
      </c>
      <c r="AA65" s="92"/>
      <c r="AB65" s="92"/>
    </row>
    <row r="66" spans="1:28" hidden="1" x14ac:dyDescent="0.2">
      <c r="A66" s="82" t="s">
        <v>123</v>
      </c>
      <c r="Z66" s="102" t="str">
        <f>IF(Z65=Z64,"Check","NO")</f>
        <v>Check</v>
      </c>
      <c r="AA66" s="92"/>
      <c r="AB66" s="92"/>
    </row>
    <row r="67" spans="1:28" ht="38.25" hidden="1" x14ac:dyDescent="0.2">
      <c r="A67" s="86" t="s">
        <v>143</v>
      </c>
      <c r="B67" s="87" t="s">
        <v>144</v>
      </c>
      <c r="C67" s="87" t="s">
        <v>145</v>
      </c>
      <c r="D67" s="87" t="s">
        <v>170</v>
      </c>
      <c r="E67" s="87" t="s">
        <v>171</v>
      </c>
      <c r="F67" s="87" t="s">
        <v>172</v>
      </c>
      <c r="G67" s="87" t="s">
        <v>146</v>
      </c>
      <c r="H67" s="87" t="s">
        <v>147</v>
      </c>
      <c r="I67" s="87" t="s">
        <v>148</v>
      </c>
      <c r="J67" s="87" t="s">
        <v>169</v>
      </c>
      <c r="K67" s="87" t="s">
        <v>136</v>
      </c>
      <c r="L67" s="87" t="s">
        <v>149</v>
      </c>
      <c r="M67" s="87" t="s">
        <v>163</v>
      </c>
      <c r="N67" s="87" t="s">
        <v>164</v>
      </c>
      <c r="O67" s="87" t="s">
        <v>207</v>
      </c>
      <c r="P67" s="87" t="s">
        <v>150</v>
      </c>
      <c r="Q67" s="87" t="s">
        <v>151</v>
      </c>
      <c r="R67" s="87" t="s">
        <v>152</v>
      </c>
      <c r="S67" s="87" t="s">
        <v>153</v>
      </c>
      <c r="T67" s="87" t="s">
        <v>154</v>
      </c>
      <c r="U67" s="87" t="s">
        <v>155</v>
      </c>
      <c r="V67" s="87" t="s">
        <v>156</v>
      </c>
      <c r="W67" s="87" t="s">
        <v>157</v>
      </c>
      <c r="X67" s="87"/>
      <c r="Y67" s="87"/>
      <c r="Z67" s="87" t="s">
        <v>158</v>
      </c>
      <c r="AA67" s="87" t="s">
        <v>173</v>
      </c>
      <c r="AB67" s="87" t="s">
        <v>175</v>
      </c>
    </row>
    <row r="68" spans="1:28" hidden="1" x14ac:dyDescent="0.2">
      <c r="A68" s="88">
        <v>35520</v>
      </c>
      <c r="B68" s="89">
        <v>7585911.6399999997</v>
      </c>
      <c r="C68" s="89">
        <v>0</v>
      </c>
      <c r="D68" s="89"/>
      <c r="E68" s="89"/>
      <c r="F68" s="89"/>
      <c r="G68" s="90">
        <f>B68-C68</f>
        <v>7585911.6399999997</v>
      </c>
      <c r="H68" s="91">
        <v>36863.33</v>
      </c>
      <c r="I68" s="91"/>
      <c r="J68" s="91">
        <v>1768008.25</v>
      </c>
      <c r="K68" s="90">
        <f>J68-M68</f>
        <v>1768008.25</v>
      </c>
      <c r="L68" s="89"/>
      <c r="M68" s="89"/>
      <c r="N68" s="89"/>
      <c r="O68" s="89"/>
      <c r="P68" s="91">
        <v>0</v>
      </c>
      <c r="Q68" s="89"/>
      <c r="R68" s="91">
        <v>456225.01</v>
      </c>
      <c r="S68" s="89"/>
      <c r="T68" s="91">
        <v>0</v>
      </c>
      <c r="U68" s="89"/>
      <c r="V68" s="91">
        <v>48644.01</v>
      </c>
      <c r="W68" s="89"/>
      <c r="X68" s="89"/>
      <c r="Y68" s="89"/>
      <c r="Z68" s="91">
        <f t="shared" ref="Z68:Z119" si="6">G68-H68-J68-P68-R68-T68+V68</f>
        <v>5373459.0599999996</v>
      </c>
      <c r="AA68" s="92">
        <v>5373459.0599999996</v>
      </c>
      <c r="AB68" s="92">
        <f t="shared" si="2"/>
        <v>0</v>
      </c>
    </row>
    <row r="69" spans="1:28" hidden="1" x14ac:dyDescent="0.2">
      <c r="A69" s="93">
        <v>35611</v>
      </c>
      <c r="B69" s="94">
        <v>10985847.869999999</v>
      </c>
      <c r="C69" s="94">
        <v>0</v>
      </c>
      <c r="D69" s="89"/>
      <c r="E69" s="89"/>
      <c r="F69" s="89"/>
      <c r="G69" s="90">
        <f t="shared" ref="G69:G106" si="7">B69-C69</f>
        <v>10985847.869999999</v>
      </c>
      <c r="H69" s="91">
        <v>202031.92</v>
      </c>
      <c r="I69" s="91"/>
      <c r="J69" s="91">
        <v>2525721.34</v>
      </c>
      <c r="K69" s="90">
        <f t="shared" ref="K69:K104" si="8">J69-M69</f>
        <v>2525721.34</v>
      </c>
      <c r="L69" s="94"/>
      <c r="M69" s="94"/>
      <c r="N69" s="94"/>
      <c r="O69" s="94"/>
      <c r="P69" s="91">
        <v>235706.9</v>
      </c>
      <c r="Q69" s="94"/>
      <c r="R69" s="91">
        <v>655694.35</v>
      </c>
      <c r="S69" s="94"/>
      <c r="T69" s="91">
        <v>125.68</v>
      </c>
      <c r="U69" s="94"/>
      <c r="V69" s="91">
        <v>0</v>
      </c>
      <c r="W69" s="94"/>
      <c r="X69" s="94"/>
      <c r="Y69" s="94"/>
      <c r="Z69" s="91">
        <f t="shared" si="6"/>
        <v>7366567.6799999997</v>
      </c>
      <c r="AA69" s="92">
        <v>7366567.6799999997</v>
      </c>
      <c r="AB69" s="92">
        <f t="shared" si="2"/>
        <v>0</v>
      </c>
    </row>
    <row r="70" spans="1:28" hidden="1" x14ac:dyDescent="0.2">
      <c r="A70" s="93">
        <v>35703</v>
      </c>
      <c r="B70" s="94">
        <v>10816427.449999999</v>
      </c>
      <c r="C70" s="94">
        <v>673.03</v>
      </c>
      <c r="D70" s="89"/>
      <c r="E70" s="89"/>
      <c r="F70" s="89"/>
      <c r="G70" s="90">
        <f t="shared" si="7"/>
        <v>10815754.42</v>
      </c>
      <c r="H70" s="91">
        <v>685551.23</v>
      </c>
      <c r="I70" s="91"/>
      <c r="J70" s="91">
        <v>2497707.64</v>
      </c>
      <c r="K70" s="90">
        <f t="shared" si="8"/>
        <v>2497707.64</v>
      </c>
      <c r="L70" s="94"/>
      <c r="M70" s="94"/>
      <c r="N70" s="94"/>
      <c r="O70" s="94"/>
      <c r="P70" s="91">
        <v>200246.11</v>
      </c>
      <c r="Q70" s="94"/>
      <c r="R70" s="91">
        <v>600216.54</v>
      </c>
      <c r="S70" s="94"/>
      <c r="T70" s="91">
        <v>37.67</v>
      </c>
      <c r="U70" s="94"/>
      <c r="V70" s="91">
        <v>0</v>
      </c>
      <c r="W70" s="94"/>
      <c r="X70" s="94"/>
      <c r="Y70" s="94"/>
      <c r="Z70" s="91">
        <f t="shared" si="6"/>
        <v>6831995.2299999986</v>
      </c>
      <c r="AA70" s="92">
        <v>6831995.2300000004</v>
      </c>
      <c r="AB70" s="92">
        <f t="shared" si="2"/>
        <v>0</v>
      </c>
    </row>
    <row r="71" spans="1:28" hidden="1" x14ac:dyDescent="0.2">
      <c r="A71" s="93">
        <v>35795</v>
      </c>
      <c r="B71" s="94">
        <v>6749195.4100000001</v>
      </c>
      <c r="C71" s="94">
        <v>4507.8100000000004</v>
      </c>
      <c r="D71" s="89"/>
      <c r="E71" s="89"/>
      <c r="F71" s="89"/>
      <c r="G71" s="90">
        <f t="shared" si="7"/>
        <v>6744687.6000000006</v>
      </c>
      <c r="H71" s="91">
        <v>1016871.99</v>
      </c>
      <c r="I71" s="91"/>
      <c r="J71" s="91">
        <v>1493476.1</v>
      </c>
      <c r="K71" s="90">
        <f t="shared" si="8"/>
        <v>1493476.1</v>
      </c>
      <c r="L71" s="94"/>
      <c r="M71" s="94"/>
      <c r="N71" s="94"/>
      <c r="O71" s="94"/>
      <c r="P71" s="91">
        <v>92009.04</v>
      </c>
      <c r="Q71" s="94"/>
      <c r="R71" s="91">
        <v>340463.31</v>
      </c>
      <c r="S71" s="94"/>
      <c r="T71" s="91">
        <v>22046.34</v>
      </c>
      <c r="U71" s="94"/>
      <c r="V71" s="91">
        <v>0</v>
      </c>
      <c r="W71" s="94"/>
      <c r="X71" s="94"/>
      <c r="Y71" s="94"/>
      <c r="Z71" s="91">
        <f t="shared" si="6"/>
        <v>3779820.82</v>
      </c>
      <c r="AA71" s="92">
        <v>3779820.82</v>
      </c>
      <c r="AB71" s="92">
        <f t="shared" si="2"/>
        <v>0</v>
      </c>
    </row>
    <row r="72" spans="1:28" hidden="1" x14ac:dyDescent="0.2">
      <c r="A72" s="88">
        <v>35885</v>
      </c>
      <c r="B72" s="89">
        <v>858237.13</v>
      </c>
      <c r="C72" s="89">
        <v>50890.43</v>
      </c>
      <c r="D72" s="89"/>
      <c r="E72" s="89"/>
      <c r="F72" s="89"/>
      <c r="G72" s="90">
        <f t="shared" si="7"/>
        <v>807346.7</v>
      </c>
      <c r="H72" s="91">
        <v>1232716.05</v>
      </c>
      <c r="I72" s="91"/>
      <c r="J72" s="91">
        <v>199045.89</v>
      </c>
      <c r="K72" s="90">
        <f t="shared" si="8"/>
        <v>199045.89</v>
      </c>
      <c r="L72" s="89"/>
      <c r="M72" s="89"/>
      <c r="N72" s="89"/>
      <c r="O72" s="89"/>
      <c r="P72" s="91">
        <v>18259.47</v>
      </c>
      <c r="Q72" s="89"/>
      <c r="R72" s="91">
        <v>27875.41</v>
      </c>
      <c r="S72" s="89"/>
      <c r="T72" s="91">
        <v>3416.89</v>
      </c>
      <c r="U72" s="89"/>
      <c r="V72" s="91">
        <v>0</v>
      </c>
      <c r="W72" s="89"/>
      <c r="X72" s="89"/>
      <c r="Y72" s="89"/>
      <c r="Z72" s="91">
        <f t="shared" si="6"/>
        <v>-673967.01000000013</v>
      </c>
      <c r="AA72" s="92">
        <v>-673967.01</v>
      </c>
      <c r="AB72" s="92">
        <f t="shared" si="2"/>
        <v>0</v>
      </c>
    </row>
    <row r="73" spans="1:28" hidden="1" x14ac:dyDescent="0.2">
      <c r="A73" s="93">
        <v>35976</v>
      </c>
      <c r="B73" s="94">
        <v>1115802.07</v>
      </c>
      <c r="C73" s="94">
        <v>153319.98000000001</v>
      </c>
      <c r="D73" s="89"/>
      <c r="E73" s="89"/>
      <c r="F73" s="89"/>
      <c r="G73" s="90">
        <f t="shared" si="7"/>
        <v>962482.09000000008</v>
      </c>
      <c r="H73" s="91">
        <v>1605281.72</v>
      </c>
      <c r="I73" s="91"/>
      <c r="J73" s="91">
        <v>225832.54</v>
      </c>
      <c r="K73" s="90">
        <f t="shared" si="8"/>
        <v>225832.54</v>
      </c>
      <c r="L73" s="94"/>
      <c r="M73" s="94"/>
      <c r="N73" s="94"/>
      <c r="O73" s="94"/>
      <c r="P73" s="91">
        <v>7953.97</v>
      </c>
      <c r="Q73" s="94"/>
      <c r="R73" s="91">
        <v>25748.57</v>
      </c>
      <c r="S73" s="94"/>
      <c r="T73" s="91">
        <v>4987.6499999999996</v>
      </c>
      <c r="U73" s="94"/>
      <c r="V73" s="91">
        <v>0</v>
      </c>
      <c r="W73" s="94"/>
      <c r="X73" s="94"/>
      <c r="Y73" s="94"/>
      <c r="Z73" s="91">
        <f t="shared" si="6"/>
        <v>-907322.35999999987</v>
      </c>
      <c r="AA73" s="92">
        <v>-907322.36</v>
      </c>
      <c r="AB73" s="92">
        <f t="shared" si="2"/>
        <v>0</v>
      </c>
    </row>
    <row r="74" spans="1:28" hidden="1" x14ac:dyDescent="0.2">
      <c r="A74" s="93">
        <v>36068</v>
      </c>
      <c r="B74" s="94">
        <v>1610838.12</v>
      </c>
      <c r="C74" s="94">
        <v>177760.08</v>
      </c>
      <c r="D74" s="89"/>
      <c r="E74" s="89"/>
      <c r="F74" s="89"/>
      <c r="G74" s="90">
        <f t="shared" si="7"/>
        <v>1433078.04</v>
      </c>
      <c r="H74" s="91">
        <v>1314950.3</v>
      </c>
      <c r="I74" s="91"/>
      <c r="J74" s="91">
        <v>364757.2</v>
      </c>
      <c r="K74" s="90">
        <f t="shared" si="8"/>
        <v>364757.2</v>
      </c>
      <c r="L74" s="94"/>
      <c r="M74" s="94"/>
      <c r="N74" s="94"/>
      <c r="O74" s="94"/>
      <c r="P74" s="91">
        <v>13122.17</v>
      </c>
      <c r="Q74" s="94"/>
      <c r="R74" s="91">
        <v>41680.239999999998</v>
      </c>
      <c r="S74" s="94"/>
      <c r="T74" s="91">
        <v>10226.98</v>
      </c>
      <c r="U74" s="94"/>
      <c r="V74" s="91">
        <v>0</v>
      </c>
      <c r="W74" s="94"/>
      <c r="X74" s="94"/>
      <c r="Y74" s="94"/>
      <c r="Z74" s="91">
        <f t="shared" si="6"/>
        <v>-311658.85000000003</v>
      </c>
      <c r="AA74" s="92">
        <v>-311658.84999999998</v>
      </c>
      <c r="AB74" s="92">
        <f t="shared" si="2"/>
        <v>0</v>
      </c>
    </row>
    <row r="75" spans="1:28" hidden="1" x14ac:dyDescent="0.2">
      <c r="A75" s="93">
        <v>36160</v>
      </c>
      <c r="B75" s="94">
        <v>225390.48</v>
      </c>
      <c r="C75" s="94">
        <v>167764.78</v>
      </c>
      <c r="D75" s="89"/>
      <c r="E75" s="89"/>
      <c r="F75" s="89"/>
      <c r="G75" s="90">
        <f t="shared" si="7"/>
        <v>57625.700000000012</v>
      </c>
      <c r="H75" s="91">
        <v>1457472.82</v>
      </c>
      <c r="I75" s="91"/>
      <c r="J75" s="91">
        <v>37299.620000000003</v>
      </c>
      <c r="K75" s="90">
        <f t="shared" si="8"/>
        <v>37299.620000000003</v>
      </c>
      <c r="L75" s="94"/>
      <c r="M75" s="94"/>
      <c r="N75" s="94"/>
      <c r="O75" s="94"/>
      <c r="P75" s="91">
        <v>11389.51</v>
      </c>
      <c r="Q75" s="94"/>
      <c r="R75" s="91">
        <v>-13489.34</v>
      </c>
      <c r="S75" s="94"/>
      <c r="T75" s="91">
        <v>21280.84</v>
      </c>
      <c r="U75" s="94"/>
      <c r="V75" s="91">
        <v>0</v>
      </c>
      <c r="W75" s="94"/>
      <c r="X75" s="94"/>
      <c r="Y75" s="94"/>
      <c r="Z75" s="91">
        <f t="shared" si="6"/>
        <v>-1456327.7500000002</v>
      </c>
      <c r="AA75" s="92">
        <v>-1456327.75</v>
      </c>
      <c r="AB75" s="92">
        <f t="shared" si="2"/>
        <v>0</v>
      </c>
    </row>
    <row r="76" spans="1:28" hidden="1" x14ac:dyDescent="0.2">
      <c r="A76" s="88">
        <v>36250</v>
      </c>
      <c r="B76" s="89">
        <v>102800.83</v>
      </c>
      <c r="C76" s="89">
        <v>128027.38</v>
      </c>
      <c r="D76" s="89"/>
      <c r="E76" s="89"/>
      <c r="F76" s="89"/>
      <c r="G76" s="90">
        <f t="shared" si="7"/>
        <v>-25226.550000000003</v>
      </c>
      <c r="H76" s="91">
        <v>1309607.17</v>
      </c>
      <c r="I76" s="91"/>
      <c r="J76" s="91">
        <v>21344.34</v>
      </c>
      <c r="K76" s="90">
        <f t="shared" si="8"/>
        <v>21344.34</v>
      </c>
      <c r="L76" s="89"/>
      <c r="M76" s="89"/>
      <c r="N76" s="89"/>
      <c r="O76" s="89"/>
      <c r="P76" s="91">
        <v>8020.35</v>
      </c>
      <c r="Q76" s="89"/>
      <c r="R76" s="91">
        <v>67.209999999999994</v>
      </c>
      <c r="S76" s="89"/>
      <c r="T76" s="91">
        <v>25948.82</v>
      </c>
      <c r="U76" s="89"/>
      <c r="V76" s="91">
        <v>0</v>
      </c>
      <c r="W76" s="89"/>
      <c r="X76" s="89"/>
      <c r="Y76" s="89"/>
      <c r="Z76" s="91">
        <f t="shared" si="6"/>
        <v>-1390214.4400000002</v>
      </c>
      <c r="AA76" s="92">
        <v>-1390214.44</v>
      </c>
      <c r="AB76" s="92">
        <f t="shared" si="2"/>
        <v>0</v>
      </c>
    </row>
    <row r="77" spans="1:28" hidden="1" x14ac:dyDescent="0.2">
      <c r="A77" s="93">
        <v>36341</v>
      </c>
      <c r="B77" s="94">
        <v>-19725</v>
      </c>
      <c r="C77" s="94">
        <v>51564.53</v>
      </c>
      <c r="D77" s="89"/>
      <c r="E77" s="89"/>
      <c r="F77" s="89"/>
      <c r="G77" s="90">
        <f t="shared" si="7"/>
        <v>-71289.53</v>
      </c>
      <c r="H77" s="91">
        <v>1291352.68</v>
      </c>
      <c r="I77" s="91"/>
      <c r="J77" s="91">
        <v>-3870.96</v>
      </c>
      <c r="K77" s="90">
        <f t="shared" si="8"/>
        <v>-3870.96</v>
      </c>
      <c r="L77" s="94"/>
      <c r="M77" s="94"/>
      <c r="N77" s="94"/>
      <c r="O77" s="94"/>
      <c r="P77" s="91">
        <v>10634.22</v>
      </c>
      <c r="Q77" s="94"/>
      <c r="R77" s="91">
        <v>-9725.5400000000009</v>
      </c>
      <c r="S77" s="94"/>
      <c r="T77" s="91">
        <v>15227.54</v>
      </c>
      <c r="U77" s="94"/>
      <c r="V77" s="91">
        <v>0</v>
      </c>
      <c r="W77" s="94"/>
      <c r="X77" s="94"/>
      <c r="Y77" s="94"/>
      <c r="Z77" s="91">
        <f t="shared" si="6"/>
        <v>-1374907.47</v>
      </c>
      <c r="AA77" s="92">
        <v>-1374907.47</v>
      </c>
      <c r="AB77" s="92">
        <f t="shared" si="2"/>
        <v>0</v>
      </c>
    </row>
    <row r="78" spans="1:28" hidden="1" x14ac:dyDescent="0.2">
      <c r="A78" s="93">
        <v>36433</v>
      </c>
      <c r="B78" s="94">
        <v>191396</v>
      </c>
      <c r="C78" s="94">
        <v>104019.6</v>
      </c>
      <c r="D78" s="89"/>
      <c r="E78" s="89"/>
      <c r="F78" s="89"/>
      <c r="G78" s="90">
        <f t="shared" si="7"/>
        <v>87376.4</v>
      </c>
      <c r="H78" s="91">
        <v>752982.52</v>
      </c>
      <c r="I78" s="91"/>
      <c r="J78" s="91">
        <v>37847.519999999997</v>
      </c>
      <c r="K78" s="90">
        <f t="shared" si="8"/>
        <v>37847.519999999997</v>
      </c>
      <c r="L78" s="94"/>
      <c r="M78" s="94"/>
      <c r="N78" s="94"/>
      <c r="O78" s="94"/>
      <c r="P78" s="91">
        <v>4383.51</v>
      </c>
      <c r="Q78" s="94"/>
      <c r="R78" s="91">
        <v>-2441.88</v>
      </c>
      <c r="S78" s="94"/>
      <c r="T78" s="91">
        <v>19977.169999999998</v>
      </c>
      <c r="U78" s="94"/>
      <c r="V78" s="91">
        <v>0</v>
      </c>
      <c r="W78" s="94"/>
      <c r="X78" s="94"/>
      <c r="Y78" s="94"/>
      <c r="Z78" s="91">
        <f t="shared" si="6"/>
        <v>-725372.44000000006</v>
      </c>
      <c r="AA78" s="92">
        <v>-725372.44</v>
      </c>
      <c r="AB78" s="92">
        <f t="shared" si="2"/>
        <v>0</v>
      </c>
    </row>
    <row r="79" spans="1:28" hidden="1" x14ac:dyDescent="0.2">
      <c r="A79" s="93">
        <v>36525</v>
      </c>
      <c r="B79" s="94">
        <v>-14302.64</v>
      </c>
      <c r="C79" s="94">
        <v>-35259.879999999997</v>
      </c>
      <c r="D79" s="89"/>
      <c r="E79" s="89"/>
      <c r="F79" s="89"/>
      <c r="G79" s="90">
        <f t="shared" si="7"/>
        <v>20957.239999999998</v>
      </c>
      <c r="H79" s="91">
        <v>-51207.81</v>
      </c>
      <c r="I79" s="91"/>
      <c r="J79" s="91">
        <v>-2147.86</v>
      </c>
      <c r="K79" s="90">
        <f t="shared" si="8"/>
        <v>-2147.86</v>
      </c>
      <c r="L79" s="94"/>
      <c r="M79" s="94"/>
      <c r="N79" s="94"/>
      <c r="O79" s="94"/>
      <c r="P79" s="91">
        <v>3947.41</v>
      </c>
      <c r="Q79" s="94"/>
      <c r="R79" s="91">
        <v>351.14</v>
      </c>
      <c r="S79" s="94"/>
      <c r="T79" s="91">
        <v>6589.98</v>
      </c>
      <c r="U79" s="94"/>
      <c r="V79" s="91">
        <v>0</v>
      </c>
      <c r="W79" s="94"/>
      <c r="X79" s="94"/>
      <c r="Y79" s="94"/>
      <c r="Z79" s="91">
        <f t="shared" si="6"/>
        <v>63424.37999999999</v>
      </c>
      <c r="AA79" s="92">
        <v>63424.38</v>
      </c>
      <c r="AB79" s="92">
        <f t="shared" si="2"/>
        <v>0</v>
      </c>
    </row>
    <row r="80" spans="1:28" hidden="1" x14ac:dyDescent="0.2">
      <c r="A80" s="88">
        <v>36616</v>
      </c>
      <c r="B80" s="89">
        <v>202416.93</v>
      </c>
      <c r="C80" s="89">
        <v>-16911.150000000001</v>
      </c>
      <c r="D80" s="89"/>
      <c r="E80" s="89"/>
      <c r="F80" s="89"/>
      <c r="G80" s="90">
        <f t="shared" si="7"/>
        <v>219328.08</v>
      </c>
      <c r="H80" s="91">
        <v>881934.44</v>
      </c>
      <c r="I80" s="91"/>
      <c r="J80" s="91">
        <v>41699.69</v>
      </c>
      <c r="K80" s="90">
        <f t="shared" si="8"/>
        <v>41699.69</v>
      </c>
      <c r="L80" s="89"/>
      <c r="M80" s="89"/>
      <c r="N80" s="89"/>
      <c r="O80" s="89"/>
      <c r="P80" s="91">
        <v>4647.12</v>
      </c>
      <c r="Q80" s="89"/>
      <c r="R80" s="91">
        <v>6349.55</v>
      </c>
      <c r="S80" s="89"/>
      <c r="T80" s="91">
        <v>2200.14</v>
      </c>
      <c r="U80" s="89"/>
      <c r="V80" s="91">
        <v>0</v>
      </c>
      <c r="W80" s="89"/>
      <c r="X80" s="89"/>
      <c r="Y80" s="89"/>
      <c r="Z80" s="91">
        <f t="shared" si="6"/>
        <v>-717502.8600000001</v>
      </c>
      <c r="AA80" s="92">
        <v>-717502.86</v>
      </c>
      <c r="AB80" s="92">
        <f t="shared" si="2"/>
        <v>0</v>
      </c>
    </row>
    <row r="81" spans="1:28" hidden="1" x14ac:dyDescent="0.2">
      <c r="A81" s="93">
        <v>36707</v>
      </c>
      <c r="B81" s="94">
        <v>-88222</v>
      </c>
      <c r="C81" s="94">
        <v>30697.91</v>
      </c>
      <c r="D81" s="89"/>
      <c r="E81" s="89"/>
      <c r="F81" s="89"/>
      <c r="G81" s="90">
        <f t="shared" si="7"/>
        <v>-118919.91</v>
      </c>
      <c r="H81" s="91">
        <v>744449.59</v>
      </c>
      <c r="I81" s="91"/>
      <c r="J81" s="91">
        <v>-18173.52</v>
      </c>
      <c r="K81" s="90">
        <f t="shared" si="8"/>
        <v>-18173.52</v>
      </c>
      <c r="L81" s="94"/>
      <c r="M81" s="94"/>
      <c r="N81" s="94"/>
      <c r="O81" s="94"/>
      <c r="P81" s="91">
        <v>5480.93</v>
      </c>
      <c r="Q81" s="94"/>
      <c r="R81" s="91">
        <v>-3499.78</v>
      </c>
      <c r="S81" s="94"/>
      <c r="T81" s="91">
        <v>2412.9299999999998</v>
      </c>
      <c r="U81" s="94"/>
      <c r="V81" s="91">
        <v>0</v>
      </c>
      <c r="W81" s="94"/>
      <c r="X81" s="94"/>
      <c r="Y81" s="94"/>
      <c r="Z81" s="91">
        <f t="shared" si="6"/>
        <v>-849590.06</v>
      </c>
      <c r="AA81" s="92">
        <v>-849590.06</v>
      </c>
      <c r="AB81" s="92">
        <f t="shared" si="2"/>
        <v>0</v>
      </c>
    </row>
    <row r="82" spans="1:28" hidden="1" x14ac:dyDescent="0.2">
      <c r="A82" s="93">
        <v>36799</v>
      </c>
      <c r="B82" s="94">
        <v>-53249.04</v>
      </c>
      <c r="C82" s="94">
        <v>-57630.01</v>
      </c>
      <c r="D82" s="89"/>
      <c r="E82" s="89"/>
      <c r="F82" s="89"/>
      <c r="G82" s="90">
        <f t="shared" si="7"/>
        <v>4380.9700000000012</v>
      </c>
      <c r="H82" s="91">
        <v>399360.42</v>
      </c>
      <c r="I82" s="91"/>
      <c r="J82" s="91">
        <v>-12282.61</v>
      </c>
      <c r="K82" s="90">
        <f t="shared" si="8"/>
        <v>-12282.61</v>
      </c>
      <c r="L82" s="94"/>
      <c r="M82" s="94"/>
      <c r="N82" s="94"/>
      <c r="O82" s="94"/>
      <c r="P82" s="91">
        <v>-991.77</v>
      </c>
      <c r="Q82" s="94"/>
      <c r="R82" s="91">
        <v>1144.1600000000001</v>
      </c>
      <c r="S82" s="94"/>
      <c r="T82" s="91">
        <v>6029.32</v>
      </c>
      <c r="U82" s="94"/>
      <c r="V82" s="91">
        <v>0</v>
      </c>
      <c r="W82" s="94"/>
      <c r="X82" s="94"/>
      <c r="Y82" s="94"/>
      <c r="Z82" s="91">
        <f t="shared" si="6"/>
        <v>-388878.54999999993</v>
      </c>
      <c r="AA82" s="92">
        <v>-388878.55</v>
      </c>
      <c r="AB82" s="92">
        <f t="shared" si="2"/>
        <v>0</v>
      </c>
    </row>
    <row r="83" spans="1:28" hidden="1" x14ac:dyDescent="0.2">
      <c r="A83" s="93">
        <v>36891</v>
      </c>
      <c r="B83" s="94">
        <v>-7881.21</v>
      </c>
      <c r="C83" s="94">
        <v>-19118.12</v>
      </c>
      <c r="D83" s="89"/>
      <c r="E83" s="89"/>
      <c r="F83" s="89"/>
      <c r="G83" s="90">
        <f t="shared" si="7"/>
        <v>11236.91</v>
      </c>
      <c r="H83" s="91">
        <v>412274.84</v>
      </c>
      <c r="I83" s="91"/>
      <c r="J83" s="91">
        <v>-2443.17</v>
      </c>
      <c r="K83" s="90">
        <f t="shared" si="8"/>
        <v>-2443.17</v>
      </c>
      <c r="L83" s="94"/>
      <c r="M83" s="94"/>
      <c r="N83" s="94"/>
      <c r="O83" s="94"/>
      <c r="P83" s="91">
        <v>2191.91</v>
      </c>
      <c r="Q83" s="94"/>
      <c r="R83" s="91">
        <v>443.32</v>
      </c>
      <c r="S83" s="94"/>
      <c r="T83" s="91">
        <v>2007.74</v>
      </c>
      <c r="U83" s="94"/>
      <c r="V83" s="91">
        <v>0</v>
      </c>
      <c r="W83" s="94"/>
      <c r="X83" s="94"/>
      <c r="Y83" s="94"/>
      <c r="Z83" s="91">
        <f t="shared" si="6"/>
        <v>-403237.73000000004</v>
      </c>
      <c r="AA83" s="92">
        <v>-403237.73</v>
      </c>
      <c r="AB83" s="92">
        <f t="shared" si="2"/>
        <v>0</v>
      </c>
    </row>
    <row r="84" spans="1:28" hidden="1" x14ac:dyDescent="0.2">
      <c r="A84" s="88">
        <v>36981</v>
      </c>
      <c r="B84" s="89">
        <v>-51049.81</v>
      </c>
      <c r="C84" s="89">
        <v>-18332.16</v>
      </c>
      <c r="D84" s="89"/>
      <c r="E84" s="89"/>
      <c r="F84" s="89"/>
      <c r="G84" s="90">
        <f t="shared" si="7"/>
        <v>-32717.649999999998</v>
      </c>
      <c r="H84" s="91">
        <v>64619.47</v>
      </c>
      <c r="I84" s="91"/>
      <c r="J84" s="91">
        <v>-9847.61</v>
      </c>
      <c r="K84" s="90">
        <f t="shared" si="8"/>
        <v>-9847.61</v>
      </c>
      <c r="L84" s="89"/>
      <c r="M84" s="89"/>
      <c r="N84" s="89"/>
      <c r="O84" s="89"/>
      <c r="P84" s="91">
        <v>1827.14</v>
      </c>
      <c r="Q84" s="89"/>
      <c r="R84" s="91">
        <v>-1919.81</v>
      </c>
      <c r="S84" s="89"/>
      <c r="T84" s="91">
        <v>3008.38</v>
      </c>
      <c r="U84" s="89"/>
      <c r="V84" s="91">
        <v>0</v>
      </c>
      <c r="W84" s="89"/>
      <c r="X84" s="89"/>
      <c r="Y84" s="89"/>
      <c r="Z84" s="91">
        <f t="shared" si="6"/>
        <v>-90405.22</v>
      </c>
      <c r="AA84" s="92">
        <v>-90405.22</v>
      </c>
      <c r="AB84" s="92">
        <f t="shared" si="2"/>
        <v>0</v>
      </c>
    </row>
    <row r="85" spans="1:28" hidden="1" x14ac:dyDescent="0.2">
      <c r="A85" s="93">
        <v>37072</v>
      </c>
      <c r="B85" s="94">
        <v>1789.2</v>
      </c>
      <c r="C85" s="94">
        <v>-21946.19</v>
      </c>
      <c r="D85" s="89"/>
      <c r="E85" s="89"/>
      <c r="F85" s="89"/>
      <c r="G85" s="90">
        <f t="shared" si="7"/>
        <v>23735.39</v>
      </c>
      <c r="H85" s="91">
        <v>351423.32</v>
      </c>
      <c r="I85" s="91"/>
      <c r="J85" s="91">
        <v>251.77</v>
      </c>
      <c r="K85" s="90">
        <f t="shared" si="8"/>
        <v>251.77</v>
      </c>
      <c r="L85" s="94"/>
      <c r="M85" s="94"/>
      <c r="N85" s="94"/>
      <c r="O85" s="94"/>
      <c r="P85" s="91">
        <v>2917.27</v>
      </c>
      <c r="Q85" s="94"/>
      <c r="R85" s="91">
        <v>422.89</v>
      </c>
      <c r="S85" s="94"/>
      <c r="T85" s="91">
        <v>4833.76</v>
      </c>
      <c r="U85" s="94"/>
      <c r="V85" s="91">
        <v>0</v>
      </c>
      <c r="W85" s="94"/>
      <c r="X85" s="94"/>
      <c r="Y85" s="94"/>
      <c r="Z85" s="91">
        <f t="shared" si="6"/>
        <v>-336113.62000000005</v>
      </c>
      <c r="AA85" s="92">
        <v>-336113.62</v>
      </c>
      <c r="AB85" s="92">
        <f t="shared" si="2"/>
        <v>0</v>
      </c>
    </row>
    <row r="86" spans="1:28" hidden="1" x14ac:dyDescent="0.2">
      <c r="A86" s="93">
        <v>37164</v>
      </c>
      <c r="B86" s="94">
        <v>-21886.22</v>
      </c>
      <c r="C86" s="94">
        <v>-30841</v>
      </c>
      <c r="D86" s="89"/>
      <c r="E86" s="89"/>
      <c r="F86" s="89"/>
      <c r="G86" s="90">
        <f t="shared" si="7"/>
        <v>8954.7799999999988</v>
      </c>
      <c r="H86" s="91">
        <v>222162.87</v>
      </c>
      <c r="I86" s="91"/>
      <c r="J86" s="91">
        <v>-5331.13</v>
      </c>
      <c r="K86" s="90">
        <f t="shared" si="8"/>
        <v>-5331.13</v>
      </c>
      <c r="L86" s="94"/>
      <c r="M86" s="94"/>
      <c r="N86" s="94"/>
      <c r="O86" s="94"/>
      <c r="P86" s="91">
        <v>2048.6799999999998</v>
      </c>
      <c r="Q86" s="94"/>
      <c r="R86" s="91">
        <v>-693.58</v>
      </c>
      <c r="S86" s="94"/>
      <c r="T86" s="91">
        <v>4109.6000000000004</v>
      </c>
      <c r="U86" s="94"/>
      <c r="V86" s="91">
        <v>0</v>
      </c>
      <c r="W86" s="94"/>
      <c r="X86" s="94"/>
      <c r="Y86" s="94"/>
      <c r="Z86" s="91">
        <f t="shared" si="6"/>
        <v>-213341.66</v>
      </c>
      <c r="AA86" s="92">
        <v>-213341.66</v>
      </c>
      <c r="AB86" s="92">
        <f t="shared" si="2"/>
        <v>0</v>
      </c>
    </row>
    <row r="87" spans="1:28" hidden="1" x14ac:dyDescent="0.2">
      <c r="A87" s="93">
        <v>37256</v>
      </c>
      <c r="B87" s="94">
        <v>-4693.8</v>
      </c>
      <c r="C87" s="94">
        <v>-23318.67</v>
      </c>
      <c r="D87" s="89"/>
      <c r="E87" s="89"/>
      <c r="F87" s="89"/>
      <c r="G87" s="90">
        <f t="shared" si="7"/>
        <v>18624.87</v>
      </c>
      <c r="H87" s="91">
        <v>373615.79</v>
      </c>
      <c r="I87" s="91"/>
      <c r="J87" s="91">
        <v>-1245.1600000000001</v>
      </c>
      <c r="K87" s="90">
        <f t="shared" si="8"/>
        <v>-1245.1600000000001</v>
      </c>
      <c r="L87" s="94"/>
      <c r="M87" s="94"/>
      <c r="N87" s="94"/>
      <c r="O87" s="94"/>
      <c r="P87" s="91">
        <v>2888.7</v>
      </c>
      <c r="Q87" s="94"/>
      <c r="R87" s="91">
        <v>-140.16999999999999</v>
      </c>
      <c r="S87" s="94"/>
      <c r="T87" s="91">
        <v>2143.94</v>
      </c>
      <c r="U87" s="94"/>
      <c r="V87" s="91">
        <v>0</v>
      </c>
      <c r="W87" s="94"/>
      <c r="X87" s="94"/>
      <c r="Y87" s="94"/>
      <c r="Z87" s="91">
        <f t="shared" si="6"/>
        <v>-358638.23000000004</v>
      </c>
      <c r="AA87" s="92">
        <v>-358638.23</v>
      </c>
      <c r="AB87" s="92">
        <f t="shared" ref="AB87:AB182" si="9">Z87-AA87</f>
        <v>0</v>
      </c>
    </row>
    <row r="88" spans="1:28" hidden="1" x14ac:dyDescent="0.2">
      <c r="A88" s="93">
        <v>37346</v>
      </c>
      <c r="B88" s="94">
        <v>326.8</v>
      </c>
      <c r="C88" s="94">
        <v>-40609.01</v>
      </c>
      <c r="D88" s="89"/>
      <c r="E88" s="89"/>
      <c r="F88" s="89"/>
      <c r="G88" s="90">
        <f t="shared" si="7"/>
        <v>40935.810000000005</v>
      </c>
      <c r="H88" s="91">
        <v>102419.17</v>
      </c>
      <c r="I88" s="91"/>
      <c r="J88" s="91">
        <v>0</v>
      </c>
      <c r="K88" s="90">
        <f t="shared" si="8"/>
        <v>0</v>
      </c>
      <c r="L88" s="94"/>
      <c r="M88" s="94"/>
      <c r="N88" s="94"/>
      <c r="O88" s="94"/>
      <c r="P88" s="91">
        <v>16.29</v>
      </c>
      <c r="Q88" s="94"/>
      <c r="R88" s="91">
        <v>158.41</v>
      </c>
      <c r="S88" s="94"/>
      <c r="T88" s="91">
        <v>7483.49</v>
      </c>
      <c r="U88" s="94"/>
      <c r="V88" s="91">
        <v>0</v>
      </c>
      <c r="W88" s="94"/>
      <c r="X88" s="94"/>
      <c r="Y88" s="94"/>
      <c r="Z88" s="91">
        <f t="shared" si="6"/>
        <v>-69141.55</v>
      </c>
      <c r="AA88" s="92">
        <v>-69141.55</v>
      </c>
      <c r="AB88" s="92">
        <f t="shared" si="9"/>
        <v>0</v>
      </c>
    </row>
    <row r="89" spans="1:28" hidden="1" x14ac:dyDescent="0.2">
      <c r="A89" s="93">
        <v>37437</v>
      </c>
      <c r="B89" s="94">
        <v>-28410.799999999999</v>
      </c>
      <c r="C89" s="94">
        <v>-10550</v>
      </c>
      <c r="D89" s="89"/>
      <c r="E89" s="89"/>
      <c r="F89" s="89"/>
      <c r="G89" s="90">
        <f t="shared" si="7"/>
        <v>-17860.8</v>
      </c>
      <c r="H89" s="91">
        <v>135062.26</v>
      </c>
      <c r="I89" s="91"/>
      <c r="J89" s="91">
        <v>-6936.24</v>
      </c>
      <c r="K89" s="90">
        <f t="shared" si="8"/>
        <v>-6936.24</v>
      </c>
      <c r="L89" s="94"/>
      <c r="M89" s="94"/>
      <c r="N89" s="94"/>
      <c r="O89" s="94"/>
      <c r="P89" s="91">
        <v>-0.85</v>
      </c>
      <c r="Q89" s="94"/>
      <c r="R89" s="91">
        <v>-36.409999999999997</v>
      </c>
      <c r="S89" s="94"/>
      <c r="T89" s="91">
        <v>2090</v>
      </c>
      <c r="U89" s="94"/>
      <c r="V89" s="91">
        <v>0</v>
      </c>
      <c r="W89" s="94"/>
      <c r="X89" s="94"/>
      <c r="Y89" s="94"/>
      <c r="Z89" s="91">
        <f t="shared" si="6"/>
        <v>-148039.56</v>
      </c>
      <c r="AA89" s="92">
        <v>-148039.56</v>
      </c>
      <c r="AB89" s="92">
        <f t="shared" si="9"/>
        <v>0</v>
      </c>
    </row>
    <row r="90" spans="1:28" hidden="1" x14ac:dyDescent="0.2">
      <c r="A90" s="93">
        <v>37620</v>
      </c>
      <c r="B90" s="94">
        <v>326.77999999999997</v>
      </c>
      <c r="C90" s="94">
        <v>-4736.41</v>
      </c>
      <c r="D90" s="89"/>
      <c r="E90" s="89"/>
      <c r="F90" s="89"/>
      <c r="G90" s="90">
        <f t="shared" si="7"/>
        <v>5063.1899999999996</v>
      </c>
      <c r="H90" s="91">
        <v>231396.74</v>
      </c>
      <c r="I90" s="91"/>
      <c r="J90" s="91">
        <v>0</v>
      </c>
      <c r="K90" s="90">
        <f t="shared" si="8"/>
        <v>0</v>
      </c>
      <c r="L90" s="94"/>
      <c r="M90" s="94"/>
      <c r="N90" s="94"/>
      <c r="O90" s="94"/>
      <c r="P90" s="91">
        <v>0</v>
      </c>
      <c r="Q90" s="94"/>
      <c r="R90" s="91">
        <v>189.12</v>
      </c>
      <c r="S90" s="94"/>
      <c r="T90" s="91">
        <v>915.9</v>
      </c>
      <c r="U90" s="94"/>
      <c r="V90" s="91">
        <v>0</v>
      </c>
      <c r="W90" s="94"/>
      <c r="X90" s="94"/>
      <c r="Y90" s="94"/>
      <c r="Z90" s="91">
        <f t="shared" si="6"/>
        <v>-227438.56999999998</v>
      </c>
      <c r="AA90" s="92">
        <v>-227438.57</v>
      </c>
      <c r="AB90" s="92">
        <f t="shared" si="9"/>
        <v>0</v>
      </c>
    </row>
    <row r="91" spans="1:28" hidden="1" x14ac:dyDescent="0.2">
      <c r="A91" s="93">
        <v>37621</v>
      </c>
      <c r="B91" s="94">
        <v>326.8</v>
      </c>
      <c r="C91" s="94">
        <v>-7690.87</v>
      </c>
      <c r="D91" s="89"/>
      <c r="E91" s="89"/>
      <c r="F91" s="89"/>
      <c r="G91" s="90">
        <f t="shared" si="7"/>
        <v>8017.67</v>
      </c>
      <c r="H91" s="91">
        <v>-215365.28</v>
      </c>
      <c r="I91" s="91"/>
      <c r="J91" s="91">
        <v>0</v>
      </c>
      <c r="K91" s="90">
        <f t="shared" si="8"/>
        <v>0</v>
      </c>
      <c r="L91" s="94"/>
      <c r="M91" s="94"/>
      <c r="N91" s="94"/>
      <c r="O91" s="94"/>
      <c r="P91" s="91">
        <v>0</v>
      </c>
      <c r="Q91" s="94"/>
      <c r="R91" s="91">
        <v>0</v>
      </c>
      <c r="S91" s="94"/>
      <c r="T91" s="91">
        <v>1394.67</v>
      </c>
      <c r="U91" s="94"/>
      <c r="V91" s="91">
        <v>0</v>
      </c>
      <c r="W91" s="94"/>
      <c r="X91" s="94"/>
      <c r="Y91" s="94"/>
      <c r="Z91" s="91">
        <f t="shared" si="6"/>
        <v>221988.28</v>
      </c>
      <c r="AA91" s="92">
        <v>221988.28</v>
      </c>
      <c r="AB91" s="92">
        <f t="shared" si="9"/>
        <v>0</v>
      </c>
    </row>
    <row r="92" spans="1:28" hidden="1" x14ac:dyDescent="0.2">
      <c r="A92" s="95">
        <v>37711</v>
      </c>
      <c r="B92" s="91">
        <v>-13.59</v>
      </c>
      <c r="C92" s="91">
        <v>-3000</v>
      </c>
      <c r="D92" s="90"/>
      <c r="E92" s="90"/>
      <c r="F92" s="90"/>
      <c r="G92" s="90">
        <f t="shared" si="7"/>
        <v>2986.41</v>
      </c>
      <c r="H92" s="91">
        <v>90639.16</v>
      </c>
      <c r="I92" s="91"/>
      <c r="J92" s="91">
        <v>0</v>
      </c>
      <c r="K92" s="90">
        <f t="shared" si="8"/>
        <v>0</v>
      </c>
      <c r="L92" s="94"/>
      <c r="M92" s="94"/>
      <c r="N92" s="94"/>
      <c r="O92" s="94"/>
      <c r="P92" s="91">
        <v>0</v>
      </c>
      <c r="Q92" s="91"/>
      <c r="R92" s="91">
        <v>123.3</v>
      </c>
      <c r="S92" s="91"/>
      <c r="T92" s="91">
        <v>540</v>
      </c>
      <c r="U92" s="91"/>
      <c r="V92" s="91">
        <v>0</v>
      </c>
      <c r="W92" s="91"/>
      <c r="X92" s="91"/>
      <c r="Y92" s="91"/>
      <c r="Z92" s="91">
        <f t="shared" si="6"/>
        <v>-88316.05</v>
      </c>
      <c r="AA92" s="92">
        <v>-88316.05</v>
      </c>
      <c r="AB92" s="92">
        <f t="shared" si="9"/>
        <v>0</v>
      </c>
    </row>
    <row r="93" spans="1:28" hidden="1" x14ac:dyDescent="0.2">
      <c r="A93" s="95">
        <v>37802</v>
      </c>
      <c r="B93" s="91">
        <v>-8379</v>
      </c>
      <c r="C93" s="91">
        <v>-1500</v>
      </c>
      <c r="D93" s="90"/>
      <c r="E93" s="90"/>
      <c r="F93" s="90"/>
      <c r="G93" s="90">
        <f t="shared" si="7"/>
        <v>-6879</v>
      </c>
      <c r="H93" s="91">
        <v>47656.85</v>
      </c>
      <c r="I93" s="91"/>
      <c r="J93" s="91">
        <v>-2011.96</v>
      </c>
      <c r="K93" s="90">
        <f t="shared" si="8"/>
        <v>-2011.96</v>
      </c>
      <c r="L93" s="94"/>
      <c r="M93" s="94"/>
      <c r="N93" s="94"/>
      <c r="O93" s="94"/>
      <c r="P93" s="91">
        <v>0</v>
      </c>
      <c r="Q93" s="91"/>
      <c r="R93" s="91">
        <v>-422.63</v>
      </c>
      <c r="S93" s="91"/>
      <c r="T93" s="91">
        <v>270</v>
      </c>
      <c r="U93" s="91"/>
      <c r="V93" s="91">
        <v>0</v>
      </c>
      <c r="W93" s="91"/>
      <c r="X93" s="91"/>
      <c r="Y93" s="91"/>
      <c r="Z93" s="91">
        <f t="shared" si="6"/>
        <v>-52371.26</v>
      </c>
      <c r="AA93" s="92">
        <v>-52371.26</v>
      </c>
      <c r="AB93" s="92">
        <f t="shared" si="9"/>
        <v>0</v>
      </c>
    </row>
    <row r="94" spans="1:28" hidden="1" x14ac:dyDescent="0.2">
      <c r="A94" s="95">
        <v>37894</v>
      </c>
      <c r="B94" s="91">
        <v>0</v>
      </c>
      <c r="C94" s="91">
        <v>0</v>
      </c>
      <c r="D94" s="90"/>
      <c r="E94" s="90"/>
      <c r="F94" s="90"/>
      <c r="G94" s="90">
        <f t="shared" si="7"/>
        <v>0</v>
      </c>
      <c r="H94" s="91">
        <v>36150.33</v>
      </c>
      <c r="I94" s="91"/>
      <c r="J94" s="91">
        <v>0</v>
      </c>
      <c r="K94" s="90">
        <f t="shared" si="8"/>
        <v>0</v>
      </c>
      <c r="L94" s="94"/>
      <c r="M94" s="94"/>
      <c r="N94" s="94"/>
      <c r="O94" s="94"/>
      <c r="P94" s="91">
        <v>0</v>
      </c>
      <c r="Q94" s="91"/>
      <c r="R94" s="91">
        <v>0</v>
      </c>
      <c r="S94" s="91"/>
      <c r="T94" s="91">
        <v>150</v>
      </c>
      <c r="U94" s="91"/>
      <c r="V94" s="91">
        <v>0</v>
      </c>
      <c r="W94" s="91"/>
      <c r="X94" s="91"/>
      <c r="Y94" s="91"/>
      <c r="Z94" s="91">
        <f t="shared" si="6"/>
        <v>-36300.33</v>
      </c>
      <c r="AA94" s="92">
        <v>-36300.33</v>
      </c>
      <c r="AB94" s="92">
        <f t="shared" si="9"/>
        <v>0</v>
      </c>
    </row>
    <row r="95" spans="1:28" hidden="1" x14ac:dyDescent="0.2">
      <c r="A95" s="95">
        <v>37986</v>
      </c>
      <c r="B95" s="91">
        <v>0</v>
      </c>
      <c r="C95" s="91">
        <v>-8691</v>
      </c>
      <c r="D95" s="90"/>
      <c r="E95" s="90"/>
      <c r="F95" s="90"/>
      <c r="G95" s="90">
        <f t="shared" si="7"/>
        <v>8691</v>
      </c>
      <c r="H95" s="91">
        <v>60516.959999999999</v>
      </c>
      <c r="I95" s="91"/>
      <c r="J95" s="91">
        <v>0</v>
      </c>
      <c r="K95" s="90">
        <f t="shared" si="8"/>
        <v>0</v>
      </c>
      <c r="L95" s="94"/>
      <c r="M95" s="94"/>
      <c r="N95" s="94"/>
      <c r="O95" s="94"/>
      <c r="P95" s="91">
        <v>0</v>
      </c>
      <c r="Q95" s="91"/>
      <c r="R95" s="91">
        <v>5295.23</v>
      </c>
      <c r="S95" s="91"/>
      <c r="T95" s="91">
        <v>1688.4</v>
      </c>
      <c r="U95" s="91"/>
      <c r="V95" s="91">
        <v>0</v>
      </c>
      <c r="W95" s="91"/>
      <c r="X95" s="91"/>
      <c r="Y95" s="91"/>
      <c r="Z95" s="91">
        <f t="shared" si="6"/>
        <v>-58809.590000000004</v>
      </c>
      <c r="AA95" s="92">
        <v>-58809.59</v>
      </c>
      <c r="AB95" s="92">
        <f t="shared" si="9"/>
        <v>0</v>
      </c>
    </row>
    <row r="96" spans="1:28" hidden="1" x14ac:dyDescent="0.2">
      <c r="A96" s="95">
        <v>38077</v>
      </c>
      <c r="B96" s="91">
        <v>0</v>
      </c>
      <c r="C96" s="91">
        <v>0</v>
      </c>
      <c r="D96" s="90"/>
      <c r="E96" s="90"/>
      <c r="F96" s="90"/>
      <c r="G96" s="90">
        <f t="shared" si="7"/>
        <v>0</v>
      </c>
      <c r="H96" s="91">
        <v>106487.96</v>
      </c>
      <c r="I96" s="91"/>
      <c r="J96" s="91">
        <v>0</v>
      </c>
      <c r="K96" s="90">
        <f t="shared" si="8"/>
        <v>0</v>
      </c>
      <c r="L96" s="94"/>
      <c r="M96" s="94"/>
      <c r="N96" s="94"/>
      <c r="O96" s="94"/>
      <c r="P96" s="91">
        <v>0</v>
      </c>
      <c r="Q96" s="91"/>
      <c r="R96" s="91">
        <v>155.94999999999999</v>
      </c>
      <c r="S96" s="91"/>
      <c r="T96" s="91">
        <v>0</v>
      </c>
      <c r="U96" s="91"/>
      <c r="V96" s="91">
        <v>0</v>
      </c>
      <c r="W96" s="91"/>
      <c r="X96" s="91"/>
      <c r="Y96" s="91"/>
      <c r="Z96" s="91">
        <f t="shared" si="6"/>
        <v>-106643.91</v>
      </c>
      <c r="AA96" s="92">
        <v>-106643.91</v>
      </c>
      <c r="AB96" s="92">
        <f t="shared" si="9"/>
        <v>0</v>
      </c>
    </row>
    <row r="97" spans="1:28" hidden="1" x14ac:dyDescent="0.2">
      <c r="A97" s="95">
        <v>38168</v>
      </c>
      <c r="B97" s="91">
        <v>0</v>
      </c>
      <c r="C97" s="91">
        <v>-5009.1499999999996</v>
      </c>
      <c r="D97" s="90"/>
      <c r="E97" s="90"/>
      <c r="F97" s="90"/>
      <c r="G97" s="90">
        <f t="shared" si="7"/>
        <v>5009.1499999999996</v>
      </c>
      <c r="H97" s="91">
        <v>68695.73</v>
      </c>
      <c r="I97" s="91"/>
      <c r="J97" s="91">
        <v>0</v>
      </c>
      <c r="K97" s="90">
        <f t="shared" si="8"/>
        <v>0</v>
      </c>
      <c r="L97" s="94"/>
      <c r="M97" s="94"/>
      <c r="N97" s="94"/>
      <c r="O97" s="94"/>
      <c r="P97" s="91">
        <v>0</v>
      </c>
      <c r="Q97" s="91"/>
      <c r="R97" s="91">
        <v>167.34</v>
      </c>
      <c r="S97" s="91"/>
      <c r="T97" s="91">
        <v>1126.83</v>
      </c>
      <c r="U97" s="91"/>
      <c r="V97" s="91">
        <v>0</v>
      </c>
      <c r="W97" s="91"/>
      <c r="X97" s="91"/>
      <c r="Y97" s="91"/>
      <c r="Z97" s="91">
        <f t="shared" si="6"/>
        <v>-64980.749999999993</v>
      </c>
      <c r="AA97" s="92">
        <v>-64980.75</v>
      </c>
      <c r="AB97" s="92">
        <f t="shared" si="9"/>
        <v>0</v>
      </c>
    </row>
    <row r="98" spans="1:28" hidden="1" x14ac:dyDescent="0.2">
      <c r="A98" s="95">
        <v>38260</v>
      </c>
      <c r="B98" s="91">
        <v>0</v>
      </c>
      <c r="C98" s="91">
        <v>23.5</v>
      </c>
      <c r="D98" s="90"/>
      <c r="E98" s="90"/>
      <c r="F98" s="90"/>
      <c r="G98" s="90">
        <f t="shared" si="7"/>
        <v>-23.5</v>
      </c>
      <c r="H98" s="91">
        <v>250758.38</v>
      </c>
      <c r="I98" s="91"/>
      <c r="J98" s="91">
        <v>0</v>
      </c>
      <c r="K98" s="90">
        <f t="shared" si="8"/>
        <v>0</v>
      </c>
      <c r="L98" s="94"/>
      <c r="M98" s="94"/>
      <c r="N98" s="94"/>
      <c r="O98" s="94"/>
      <c r="P98" s="91">
        <v>0</v>
      </c>
      <c r="Q98" s="91"/>
      <c r="R98" s="91">
        <v>0</v>
      </c>
      <c r="S98" s="91"/>
      <c r="T98" s="91">
        <v>995.68</v>
      </c>
      <c r="U98" s="91"/>
      <c r="V98" s="91">
        <v>0</v>
      </c>
      <c r="W98" s="91"/>
      <c r="X98" s="91"/>
      <c r="Y98" s="91"/>
      <c r="Z98" s="91">
        <f t="shared" si="6"/>
        <v>-251777.56</v>
      </c>
      <c r="AA98" s="92">
        <v>-251777.56</v>
      </c>
      <c r="AB98" s="92">
        <f t="shared" si="9"/>
        <v>0</v>
      </c>
    </row>
    <row r="99" spans="1:28" hidden="1" x14ac:dyDescent="0.2">
      <c r="A99" s="95">
        <v>38352</v>
      </c>
      <c r="B99" s="91">
        <v>0</v>
      </c>
      <c r="C99" s="91">
        <v>0</v>
      </c>
      <c r="D99" s="90"/>
      <c r="E99" s="90"/>
      <c r="F99" s="90"/>
      <c r="G99" s="90">
        <f t="shared" si="7"/>
        <v>0</v>
      </c>
      <c r="H99" s="91">
        <v>60587.43</v>
      </c>
      <c r="I99" s="91"/>
      <c r="J99" s="91">
        <v>0</v>
      </c>
      <c r="K99" s="90">
        <f t="shared" si="8"/>
        <v>0</v>
      </c>
      <c r="L99" s="94"/>
      <c r="M99" s="94"/>
      <c r="N99" s="94"/>
      <c r="O99" s="94"/>
      <c r="P99" s="91">
        <v>0</v>
      </c>
      <c r="Q99" s="91"/>
      <c r="R99" s="91">
        <v>0</v>
      </c>
      <c r="S99" s="91"/>
      <c r="T99" s="91">
        <v>5825.91</v>
      </c>
      <c r="U99" s="91"/>
      <c r="V99" s="91">
        <v>0</v>
      </c>
      <c r="W99" s="91"/>
      <c r="X99" s="91"/>
      <c r="Y99" s="91"/>
      <c r="Z99" s="91">
        <f t="shared" si="6"/>
        <v>-66413.34</v>
      </c>
      <c r="AA99" s="92">
        <v>-66413.34</v>
      </c>
      <c r="AB99" s="92">
        <f t="shared" si="9"/>
        <v>0</v>
      </c>
    </row>
    <row r="100" spans="1:28" hidden="1" x14ac:dyDescent="0.2">
      <c r="A100" s="95">
        <v>38442</v>
      </c>
      <c r="B100" s="91">
        <v>0</v>
      </c>
      <c r="C100" s="91">
        <v>0</v>
      </c>
      <c r="D100" s="90"/>
      <c r="E100" s="90"/>
      <c r="F100" s="90"/>
      <c r="G100" s="90">
        <f t="shared" si="7"/>
        <v>0</v>
      </c>
      <c r="H100" s="91">
        <v>22363.26</v>
      </c>
      <c r="I100" s="91"/>
      <c r="J100" s="91">
        <v>0</v>
      </c>
      <c r="K100" s="90">
        <f t="shared" si="8"/>
        <v>0</v>
      </c>
      <c r="L100" s="94"/>
      <c r="M100" s="94"/>
      <c r="N100" s="94"/>
      <c r="O100" s="94"/>
      <c r="P100" s="91">
        <v>0</v>
      </c>
      <c r="Q100" s="91"/>
      <c r="R100" s="91">
        <v>0</v>
      </c>
      <c r="S100" s="91"/>
      <c r="T100" s="91">
        <v>5304.72</v>
      </c>
      <c r="U100" s="91"/>
      <c r="V100" s="91">
        <v>0</v>
      </c>
      <c r="W100" s="91"/>
      <c r="X100" s="91"/>
      <c r="Y100" s="91"/>
      <c r="Z100" s="91">
        <f t="shared" si="6"/>
        <v>-27667.98</v>
      </c>
      <c r="AA100" s="92">
        <v>-27667.98</v>
      </c>
      <c r="AB100" s="92">
        <f t="shared" si="9"/>
        <v>0</v>
      </c>
    </row>
    <row r="101" spans="1:28" hidden="1" x14ac:dyDescent="0.2">
      <c r="A101" s="95">
        <v>38533</v>
      </c>
      <c r="B101" s="91">
        <v>0</v>
      </c>
      <c r="C101" s="91">
        <v>0</v>
      </c>
      <c r="D101" s="90"/>
      <c r="E101" s="90"/>
      <c r="F101" s="90"/>
      <c r="G101" s="90">
        <f t="shared" si="7"/>
        <v>0</v>
      </c>
      <c r="H101" s="91">
        <v>35502.32</v>
      </c>
      <c r="I101" s="91"/>
      <c r="J101" s="91">
        <v>0</v>
      </c>
      <c r="K101" s="90">
        <f t="shared" si="8"/>
        <v>0</v>
      </c>
      <c r="L101" s="94"/>
      <c r="M101" s="94"/>
      <c r="N101" s="94"/>
      <c r="O101" s="94"/>
      <c r="P101" s="91">
        <v>0</v>
      </c>
      <c r="Q101" s="91"/>
      <c r="R101" s="91">
        <v>564.17999999999995</v>
      </c>
      <c r="S101" s="91"/>
      <c r="T101" s="91">
        <v>0</v>
      </c>
      <c r="U101" s="91"/>
      <c r="V101" s="91">
        <v>0</v>
      </c>
      <c r="W101" s="91"/>
      <c r="X101" s="91"/>
      <c r="Y101" s="91"/>
      <c r="Z101" s="91">
        <f t="shared" si="6"/>
        <v>-36066.5</v>
      </c>
      <c r="AA101" s="92">
        <v>-36066.5</v>
      </c>
      <c r="AB101" s="92">
        <f t="shared" si="9"/>
        <v>0</v>
      </c>
    </row>
    <row r="102" spans="1:28" hidden="1" x14ac:dyDescent="0.2">
      <c r="A102" s="95">
        <v>38625</v>
      </c>
      <c r="B102" s="91">
        <v>0</v>
      </c>
      <c r="C102" s="91">
        <v>0</v>
      </c>
      <c r="D102" s="90"/>
      <c r="E102" s="90"/>
      <c r="F102" s="90"/>
      <c r="G102" s="90">
        <f t="shared" si="7"/>
        <v>0</v>
      </c>
      <c r="H102" s="91">
        <v>14394.46</v>
      </c>
      <c r="I102" s="91"/>
      <c r="J102" s="91">
        <v>0</v>
      </c>
      <c r="K102" s="90">
        <f t="shared" si="8"/>
        <v>0</v>
      </c>
      <c r="L102" s="94"/>
      <c r="M102" s="94"/>
      <c r="N102" s="94"/>
      <c r="O102" s="94"/>
      <c r="P102" s="91">
        <v>0</v>
      </c>
      <c r="Q102" s="91"/>
      <c r="R102" s="91">
        <v>0</v>
      </c>
      <c r="S102" s="91"/>
      <c r="T102" s="91">
        <v>18379.63</v>
      </c>
      <c r="U102" s="91"/>
      <c r="V102" s="91">
        <v>0</v>
      </c>
      <c r="W102" s="91"/>
      <c r="X102" s="91"/>
      <c r="Y102" s="91"/>
      <c r="Z102" s="91">
        <f t="shared" si="6"/>
        <v>-32774.089999999997</v>
      </c>
      <c r="AA102" s="92">
        <v>-32774.089999999997</v>
      </c>
      <c r="AB102" s="92">
        <f t="shared" si="9"/>
        <v>0</v>
      </c>
    </row>
    <row r="103" spans="1:28" hidden="1" x14ac:dyDescent="0.2">
      <c r="A103" s="95">
        <v>38717</v>
      </c>
      <c r="B103" s="91">
        <v>0</v>
      </c>
      <c r="C103" s="91">
        <v>0</v>
      </c>
      <c r="D103" s="90"/>
      <c r="E103" s="90"/>
      <c r="F103" s="90"/>
      <c r="G103" s="90">
        <f t="shared" si="7"/>
        <v>0</v>
      </c>
      <c r="H103" s="91">
        <v>-55474.73</v>
      </c>
      <c r="I103" s="91"/>
      <c r="J103" s="91">
        <v>0</v>
      </c>
      <c r="K103" s="90">
        <f t="shared" si="8"/>
        <v>0</v>
      </c>
      <c r="L103" s="94"/>
      <c r="M103" s="94"/>
      <c r="N103" s="94"/>
      <c r="O103" s="94"/>
      <c r="P103" s="91">
        <v>0</v>
      </c>
      <c r="Q103" s="91"/>
      <c r="R103" s="91">
        <v>0</v>
      </c>
      <c r="S103" s="91"/>
      <c r="T103" s="91">
        <v>6639.04</v>
      </c>
      <c r="U103" s="91"/>
      <c r="V103" s="91">
        <v>0</v>
      </c>
      <c r="W103" s="91"/>
      <c r="X103" s="91"/>
      <c r="Y103" s="91"/>
      <c r="Z103" s="91">
        <f t="shared" si="6"/>
        <v>48835.69</v>
      </c>
      <c r="AA103" s="92">
        <v>48835.69</v>
      </c>
      <c r="AB103" s="92">
        <f t="shared" si="9"/>
        <v>0</v>
      </c>
    </row>
    <row r="104" spans="1:28" hidden="1" x14ac:dyDescent="0.2">
      <c r="A104" s="95">
        <v>38807</v>
      </c>
      <c r="B104" s="91">
        <v>0</v>
      </c>
      <c r="C104" s="91">
        <v>0</v>
      </c>
      <c r="D104" s="90"/>
      <c r="E104" s="90"/>
      <c r="F104" s="90"/>
      <c r="G104" s="90">
        <f t="shared" si="7"/>
        <v>0</v>
      </c>
      <c r="H104" s="91">
        <v>23504.48</v>
      </c>
      <c r="I104" s="91"/>
      <c r="J104" s="91">
        <v>0</v>
      </c>
      <c r="K104" s="90">
        <f t="shared" si="8"/>
        <v>0</v>
      </c>
      <c r="L104" s="94"/>
      <c r="M104" s="94"/>
      <c r="N104" s="94"/>
      <c r="O104" s="94"/>
      <c r="P104" s="91">
        <v>0</v>
      </c>
      <c r="Q104" s="91"/>
      <c r="R104" s="91">
        <v>0</v>
      </c>
      <c r="S104" s="91"/>
      <c r="T104" s="91">
        <v>0</v>
      </c>
      <c r="U104" s="91"/>
      <c r="V104" s="91">
        <v>0</v>
      </c>
      <c r="W104" s="91"/>
      <c r="X104" s="91"/>
      <c r="Y104" s="91"/>
      <c r="Z104" s="91">
        <f t="shared" si="6"/>
        <v>-23504.48</v>
      </c>
      <c r="AA104" s="92">
        <v>-23504.48</v>
      </c>
      <c r="AB104" s="92">
        <f t="shared" si="9"/>
        <v>0</v>
      </c>
    </row>
    <row r="105" spans="1:28" hidden="1" x14ac:dyDescent="0.2">
      <c r="A105" s="95">
        <v>38898</v>
      </c>
      <c r="B105" s="91">
        <v>0</v>
      </c>
      <c r="C105" s="91">
        <v>0</v>
      </c>
      <c r="D105" s="90"/>
      <c r="E105" s="90"/>
      <c r="F105" s="90"/>
      <c r="G105" s="90">
        <f t="shared" si="7"/>
        <v>0</v>
      </c>
      <c r="H105" s="91">
        <v>16662.38</v>
      </c>
      <c r="I105" s="91"/>
      <c r="J105" s="91">
        <v>0</v>
      </c>
      <c r="K105" s="90">
        <v>0</v>
      </c>
      <c r="L105" s="94"/>
      <c r="M105" s="94"/>
      <c r="N105" s="94"/>
      <c r="O105" s="94"/>
      <c r="P105" s="91">
        <v>0</v>
      </c>
      <c r="Q105" s="91"/>
      <c r="R105" s="91">
        <v>0</v>
      </c>
      <c r="S105" s="91"/>
      <c r="T105" s="91">
        <v>812.21</v>
      </c>
      <c r="U105" s="91"/>
      <c r="V105" s="91">
        <v>0</v>
      </c>
      <c r="W105" s="91"/>
      <c r="X105" s="91"/>
      <c r="Y105" s="91"/>
      <c r="Z105" s="91">
        <f t="shared" si="6"/>
        <v>-17474.59</v>
      </c>
      <c r="AA105" s="92">
        <v>-17474.59</v>
      </c>
      <c r="AB105" s="92">
        <f t="shared" si="9"/>
        <v>0</v>
      </c>
    </row>
    <row r="106" spans="1:28" hidden="1" x14ac:dyDescent="0.2">
      <c r="A106" s="95">
        <v>38990</v>
      </c>
      <c r="B106" s="91">
        <v>0</v>
      </c>
      <c r="C106" s="91">
        <v>0</v>
      </c>
      <c r="D106" s="90"/>
      <c r="E106" s="90"/>
      <c r="F106" s="90"/>
      <c r="G106" s="90">
        <f t="shared" si="7"/>
        <v>0</v>
      </c>
      <c r="H106" s="91">
        <v>11154.78</v>
      </c>
      <c r="I106" s="91"/>
      <c r="J106" s="91">
        <v>0</v>
      </c>
      <c r="K106" s="90">
        <v>0</v>
      </c>
      <c r="L106" s="94"/>
      <c r="M106" s="94">
        <v>0</v>
      </c>
      <c r="N106" s="94"/>
      <c r="O106" s="94"/>
      <c r="P106" s="91">
        <v>0</v>
      </c>
      <c r="Q106" s="91"/>
      <c r="R106" s="91">
        <v>0</v>
      </c>
      <c r="S106" s="91"/>
      <c r="T106" s="91">
        <v>-4092.5</v>
      </c>
      <c r="U106" s="91"/>
      <c r="V106" s="91">
        <v>0</v>
      </c>
      <c r="W106" s="91"/>
      <c r="X106" s="91"/>
      <c r="Y106" s="91"/>
      <c r="Z106" s="91">
        <f t="shared" si="6"/>
        <v>-7062.2800000000007</v>
      </c>
      <c r="AA106" s="92">
        <v>-7062.28</v>
      </c>
      <c r="AB106" s="92">
        <f t="shared" si="9"/>
        <v>0</v>
      </c>
    </row>
    <row r="107" spans="1:28" hidden="1" x14ac:dyDescent="0.2">
      <c r="A107" s="95">
        <v>39082</v>
      </c>
      <c r="B107" s="91">
        <v>0</v>
      </c>
      <c r="C107" s="91">
        <v>0</v>
      </c>
      <c r="D107" s="90"/>
      <c r="E107" s="90"/>
      <c r="F107" s="90"/>
      <c r="G107" s="90">
        <v>0</v>
      </c>
      <c r="H107" s="91">
        <v>14406.14</v>
      </c>
      <c r="I107" s="91"/>
      <c r="J107" s="91">
        <v>0</v>
      </c>
      <c r="K107" s="90">
        <v>0</v>
      </c>
      <c r="L107" s="94"/>
      <c r="M107" s="94">
        <v>0</v>
      </c>
      <c r="N107" s="94"/>
      <c r="O107" s="94"/>
      <c r="P107" s="91">
        <v>17.64</v>
      </c>
      <c r="Q107" s="91"/>
      <c r="R107" s="91">
        <v>0</v>
      </c>
      <c r="S107" s="91"/>
      <c r="T107" s="91">
        <v>748.85</v>
      </c>
      <c r="U107" s="91"/>
      <c r="V107" s="91">
        <v>0</v>
      </c>
      <c r="W107" s="91"/>
      <c r="X107" s="91"/>
      <c r="Y107" s="91"/>
      <c r="Z107" s="91">
        <f t="shared" si="6"/>
        <v>-15172.63</v>
      </c>
      <c r="AA107" s="92">
        <v>-15172.63</v>
      </c>
      <c r="AB107" s="92">
        <f t="shared" si="9"/>
        <v>0</v>
      </c>
    </row>
    <row r="108" spans="1:28" hidden="1" x14ac:dyDescent="0.2">
      <c r="A108" s="95">
        <v>39172</v>
      </c>
      <c r="B108" s="91">
        <v>0</v>
      </c>
      <c r="C108" s="91">
        <v>-150680.91</v>
      </c>
      <c r="D108" s="90">
        <v>0</v>
      </c>
      <c r="E108" s="90">
        <v>0</v>
      </c>
      <c r="F108" s="90">
        <v>0</v>
      </c>
      <c r="G108" s="90">
        <f t="shared" ref="G108:G119" si="10">B108-C108</f>
        <v>150680.91</v>
      </c>
      <c r="H108" s="91">
        <v>15124.4</v>
      </c>
      <c r="I108" s="91"/>
      <c r="J108" s="91">
        <v>0</v>
      </c>
      <c r="K108" s="90">
        <v>0</v>
      </c>
      <c r="L108" s="94"/>
      <c r="M108" s="94">
        <v>0</v>
      </c>
      <c r="N108" s="94"/>
      <c r="O108" s="94"/>
      <c r="P108" s="91">
        <v>1.53</v>
      </c>
      <c r="Q108" s="91"/>
      <c r="R108" s="91">
        <v>0</v>
      </c>
      <c r="S108" s="91"/>
      <c r="T108" s="91">
        <v>1892.61</v>
      </c>
      <c r="U108" s="91"/>
      <c r="V108" s="91">
        <v>0</v>
      </c>
      <c r="W108" s="91"/>
      <c r="X108" s="91"/>
      <c r="Y108" s="91"/>
      <c r="Z108" s="91">
        <f t="shared" si="6"/>
        <v>133662.37000000002</v>
      </c>
      <c r="AA108" s="92">
        <v>133662.37</v>
      </c>
      <c r="AB108" s="92">
        <f t="shared" si="9"/>
        <v>0</v>
      </c>
    </row>
    <row r="109" spans="1:28" hidden="1" x14ac:dyDescent="0.2">
      <c r="A109" s="95">
        <v>39263</v>
      </c>
      <c r="B109" s="91">
        <v>0</v>
      </c>
      <c r="C109" s="91">
        <v>-7230</v>
      </c>
      <c r="D109" s="90"/>
      <c r="E109" s="90"/>
      <c r="F109" s="90"/>
      <c r="G109" s="90">
        <f t="shared" si="10"/>
        <v>7230</v>
      </c>
      <c r="H109" s="91">
        <v>14910.92</v>
      </c>
      <c r="I109" s="91"/>
      <c r="J109" s="91">
        <v>0</v>
      </c>
      <c r="K109" s="90">
        <v>0</v>
      </c>
      <c r="L109" s="94"/>
      <c r="M109" s="94">
        <v>0</v>
      </c>
      <c r="N109" s="94"/>
      <c r="O109" s="94"/>
      <c r="P109" s="91">
        <v>16.420000000000002</v>
      </c>
      <c r="Q109" s="91"/>
      <c r="R109" s="91">
        <v>80.27</v>
      </c>
      <c r="S109" s="91"/>
      <c r="T109" s="91">
        <v>3273.23</v>
      </c>
      <c r="U109" s="91"/>
      <c r="V109" s="91">
        <v>0</v>
      </c>
      <c r="W109" s="91"/>
      <c r="X109" s="91"/>
      <c r="Y109" s="91"/>
      <c r="Z109" s="91">
        <f t="shared" si="6"/>
        <v>-11050.84</v>
      </c>
      <c r="AA109" s="92">
        <v>-11050.84</v>
      </c>
      <c r="AB109" s="92">
        <f t="shared" si="9"/>
        <v>0</v>
      </c>
    </row>
    <row r="110" spans="1:28" hidden="1" x14ac:dyDescent="0.2">
      <c r="A110" s="95">
        <v>39355</v>
      </c>
      <c r="B110" s="91">
        <v>7440</v>
      </c>
      <c r="C110" s="91">
        <v>9500</v>
      </c>
      <c r="D110" s="90">
        <v>0</v>
      </c>
      <c r="E110" s="90">
        <f>B110-C110</f>
        <v>-2060</v>
      </c>
      <c r="F110" s="90">
        <v>0</v>
      </c>
      <c r="G110" s="90">
        <f t="shared" si="10"/>
        <v>-2060</v>
      </c>
      <c r="H110" s="91">
        <v>16010.86</v>
      </c>
      <c r="I110" s="91"/>
      <c r="J110" s="91">
        <v>0</v>
      </c>
      <c r="K110" s="90">
        <v>0</v>
      </c>
      <c r="L110" s="94"/>
      <c r="M110" s="94">
        <v>0</v>
      </c>
      <c r="N110" s="94"/>
      <c r="O110" s="94"/>
      <c r="P110" s="91">
        <v>4.12</v>
      </c>
      <c r="Q110" s="91"/>
      <c r="R110" s="91">
        <v>69.599999999999994</v>
      </c>
      <c r="S110" s="91"/>
      <c r="T110" s="91">
        <v>5294.39</v>
      </c>
      <c r="U110" s="91"/>
      <c r="V110" s="91">
        <v>0</v>
      </c>
      <c r="W110" s="91"/>
      <c r="X110" s="91"/>
      <c r="Y110" s="91"/>
      <c r="Z110" s="91">
        <f t="shared" si="6"/>
        <v>-23438.969999999998</v>
      </c>
      <c r="AA110" s="92">
        <v>-23438.97</v>
      </c>
      <c r="AB110" s="92">
        <f t="shared" si="9"/>
        <v>0</v>
      </c>
    </row>
    <row r="111" spans="1:28" hidden="1" x14ac:dyDescent="0.2">
      <c r="A111" s="95">
        <v>39447</v>
      </c>
      <c r="B111" s="91">
        <v>-7440</v>
      </c>
      <c r="C111" s="91">
        <v>-21357.82</v>
      </c>
      <c r="D111" s="90">
        <v>0</v>
      </c>
      <c r="E111" s="90">
        <v>13917.82</v>
      </c>
      <c r="F111" s="90">
        <v>0</v>
      </c>
      <c r="G111" s="90">
        <f t="shared" si="10"/>
        <v>13917.82</v>
      </c>
      <c r="H111" s="91">
        <v>13793.3</v>
      </c>
      <c r="I111" s="91"/>
      <c r="J111" s="91">
        <v>0</v>
      </c>
      <c r="K111" s="90">
        <v>0</v>
      </c>
      <c r="L111" s="94"/>
      <c r="M111" s="94">
        <v>0</v>
      </c>
      <c r="N111" s="94"/>
      <c r="O111" s="94"/>
      <c r="P111" s="91">
        <v>15.92</v>
      </c>
      <c r="Q111" s="91"/>
      <c r="R111" s="91">
        <v>0</v>
      </c>
      <c r="S111" s="91"/>
      <c r="T111" s="91">
        <v>781.38</v>
      </c>
      <c r="U111" s="91"/>
      <c r="V111" s="91">
        <v>0</v>
      </c>
      <c r="W111" s="91"/>
      <c r="X111" s="91"/>
      <c r="Y111" s="91"/>
      <c r="Z111" s="91">
        <f t="shared" si="6"/>
        <v>-672.77999999999952</v>
      </c>
      <c r="AA111" s="92">
        <v>-672.78</v>
      </c>
      <c r="AB111" s="92">
        <f t="shared" si="9"/>
        <v>0</v>
      </c>
    </row>
    <row r="112" spans="1:28" hidden="1" x14ac:dyDescent="0.2">
      <c r="A112" s="95">
        <v>39538</v>
      </c>
      <c r="B112" s="91">
        <v>0</v>
      </c>
      <c r="C112" s="91">
        <v>-22357.82</v>
      </c>
      <c r="D112" s="90">
        <v>0</v>
      </c>
      <c r="E112" s="90">
        <v>22357.82</v>
      </c>
      <c r="F112" s="90">
        <v>0</v>
      </c>
      <c r="G112" s="90">
        <f t="shared" si="10"/>
        <v>22357.82</v>
      </c>
      <c r="H112" s="91">
        <v>36377.1</v>
      </c>
      <c r="I112" s="91"/>
      <c r="J112" s="91">
        <v>0</v>
      </c>
      <c r="K112" s="90">
        <v>0</v>
      </c>
      <c r="L112" s="94"/>
      <c r="M112" s="94">
        <v>0</v>
      </c>
      <c r="N112" s="94"/>
      <c r="O112" s="94"/>
      <c r="P112" s="91">
        <v>64.47</v>
      </c>
      <c r="Q112" s="91"/>
      <c r="R112" s="91">
        <v>46.4</v>
      </c>
      <c r="S112" s="91"/>
      <c r="T112" s="91">
        <v>242.5</v>
      </c>
      <c r="U112" s="91"/>
      <c r="V112" s="91">
        <v>0</v>
      </c>
      <c r="W112" s="91"/>
      <c r="X112" s="91"/>
      <c r="Y112" s="91"/>
      <c r="Z112" s="91">
        <f t="shared" si="6"/>
        <v>-14372.649999999998</v>
      </c>
      <c r="AA112" s="92">
        <v>-14372.65</v>
      </c>
      <c r="AB112" s="92">
        <f t="shared" si="9"/>
        <v>0</v>
      </c>
    </row>
    <row r="113" spans="1:28" hidden="1" x14ac:dyDescent="0.2">
      <c r="A113" s="95">
        <v>39629</v>
      </c>
      <c r="B113" s="91">
        <v>0</v>
      </c>
      <c r="C113" s="91">
        <v>0</v>
      </c>
      <c r="D113" s="90">
        <v>0</v>
      </c>
      <c r="E113" s="90">
        <v>0</v>
      </c>
      <c r="F113" s="90">
        <v>0</v>
      </c>
      <c r="G113" s="90">
        <f t="shared" si="10"/>
        <v>0</v>
      </c>
      <c r="H113" s="91">
        <v>20522.419999999998</v>
      </c>
      <c r="I113" s="91"/>
      <c r="J113" s="91">
        <v>0</v>
      </c>
      <c r="K113" s="90">
        <v>0</v>
      </c>
      <c r="L113" s="94"/>
      <c r="M113" s="94">
        <v>0</v>
      </c>
      <c r="N113" s="94"/>
      <c r="O113" s="94"/>
      <c r="P113" s="91">
        <v>29.32</v>
      </c>
      <c r="Q113" s="91"/>
      <c r="R113" s="91">
        <v>0</v>
      </c>
      <c r="S113" s="91"/>
      <c r="T113" s="91">
        <v>50.9</v>
      </c>
      <c r="U113" s="91"/>
      <c r="V113" s="91">
        <v>0</v>
      </c>
      <c r="W113" s="91"/>
      <c r="X113" s="91"/>
      <c r="Y113" s="91"/>
      <c r="Z113" s="91">
        <f t="shared" si="6"/>
        <v>-20602.64</v>
      </c>
      <c r="AA113" s="92">
        <v>-20602.64</v>
      </c>
      <c r="AB113" s="92">
        <f t="shared" si="9"/>
        <v>0</v>
      </c>
    </row>
    <row r="114" spans="1:28" hidden="1" x14ac:dyDescent="0.2">
      <c r="A114" s="95">
        <v>39721</v>
      </c>
      <c r="B114" s="91">
        <v>0</v>
      </c>
      <c r="C114" s="91">
        <v>-8119.27</v>
      </c>
      <c r="D114" s="90">
        <v>0</v>
      </c>
      <c r="E114" s="90">
        <v>8119.27</v>
      </c>
      <c r="F114" s="90">
        <v>0</v>
      </c>
      <c r="G114" s="90">
        <f t="shared" si="10"/>
        <v>8119.27</v>
      </c>
      <c r="H114" s="91">
        <v>20012.45</v>
      </c>
      <c r="I114" s="91"/>
      <c r="J114" s="91">
        <v>0</v>
      </c>
      <c r="K114" s="90">
        <v>0</v>
      </c>
      <c r="L114" s="94"/>
      <c r="M114" s="94">
        <v>0</v>
      </c>
      <c r="N114" s="94"/>
      <c r="O114" s="94"/>
      <c r="P114" s="91">
        <v>14.74</v>
      </c>
      <c r="Q114" s="91"/>
      <c r="R114" s="91">
        <v>46.4</v>
      </c>
      <c r="S114" s="91"/>
      <c r="T114" s="91">
        <v>316.02999999999997</v>
      </c>
      <c r="U114" s="91"/>
      <c r="V114" s="91">
        <v>0</v>
      </c>
      <c r="W114" s="91"/>
      <c r="X114" s="91"/>
      <c r="Y114" s="91"/>
      <c r="Z114" s="91">
        <f t="shared" si="6"/>
        <v>-12270.35</v>
      </c>
      <c r="AA114" s="92">
        <v>-12270.35</v>
      </c>
      <c r="AB114" s="92">
        <f t="shared" si="9"/>
        <v>0</v>
      </c>
    </row>
    <row r="115" spans="1:28" hidden="1" x14ac:dyDescent="0.2">
      <c r="A115" s="95">
        <v>39813</v>
      </c>
      <c r="B115" s="91">
        <v>0</v>
      </c>
      <c r="C115" s="91">
        <v>-10678.91</v>
      </c>
      <c r="D115" s="90">
        <v>0</v>
      </c>
      <c r="E115" s="90">
        <f>B115-C115</f>
        <v>10678.91</v>
      </c>
      <c r="F115" s="90">
        <v>0</v>
      </c>
      <c r="G115" s="90">
        <f t="shared" si="10"/>
        <v>10678.91</v>
      </c>
      <c r="H115" s="91">
        <v>17201.34</v>
      </c>
      <c r="I115" s="91"/>
      <c r="J115" s="91">
        <v>0</v>
      </c>
      <c r="K115" s="90">
        <v>0</v>
      </c>
      <c r="L115" s="94"/>
      <c r="M115" s="94">
        <v>0</v>
      </c>
      <c r="N115" s="94"/>
      <c r="O115" s="94"/>
      <c r="P115" s="91">
        <v>0.39</v>
      </c>
      <c r="Q115" s="91"/>
      <c r="R115" s="91">
        <v>0</v>
      </c>
      <c r="S115" s="91"/>
      <c r="T115" s="91">
        <v>0</v>
      </c>
      <c r="U115" s="91"/>
      <c r="V115" s="91">
        <v>0</v>
      </c>
      <c r="W115" s="91"/>
      <c r="X115" s="91"/>
      <c r="Y115" s="91"/>
      <c r="Z115" s="91">
        <f t="shared" si="6"/>
        <v>-6522.8200000000006</v>
      </c>
      <c r="AA115" s="92">
        <v>-6522.82</v>
      </c>
      <c r="AB115" s="92">
        <f t="shared" si="9"/>
        <v>0</v>
      </c>
    </row>
    <row r="116" spans="1:28" hidden="1" x14ac:dyDescent="0.2">
      <c r="A116" s="95">
        <v>39903</v>
      </c>
      <c r="B116" s="91">
        <v>0</v>
      </c>
      <c r="C116" s="91">
        <v>-10678.91</v>
      </c>
      <c r="D116" s="90">
        <v>0</v>
      </c>
      <c r="E116" s="90">
        <f>B116-C116</f>
        <v>10678.91</v>
      </c>
      <c r="F116" s="90">
        <v>0</v>
      </c>
      <c r="G116" s="90">
        <f t="shared" si="10"/>
        <v>10678.91</v>
      </c>
      <c r="H116" s="91">
        <v>386489.21</v>
      </c>
      <c r="I116" s="91"/>
      <c r="J116" s="91">
        <v>0</v>
      </c>
      <c r="K116" s="90">
        <v>0</v>
      </c>
      <c r="L116" s="94"/>
      <c r="M116" s="94">
        <v>0</v>
      </c>
      <c r="N116" s="94"/>
      <c r="O116" s="94"/>
      <c r="P116" s="91">
        <v>251.46</v>
      </c>
      <c r="Q116" s="91"/>
      <c r="R116" s="91">
        <v>0</v>
      </c>
      <c r="S116" s="91"/>
      <c r="T116" s="91">
        <v>27.32</v>
      </c>
      <c r="U116" s="91"/>
      <c r="V116" s="91">
        <v>0</v>
      </c>
      <c r="W116" s="91"/>
      <c r="X116" s="91"/>
      <c r="Y116" s="91"/>
      <c r="Z116" s="91">
        <f t="shared" si="6"/>
        <v>-376089.08000000007</v>
      </c>
      <c r="AA116" s="92">
        <v>-376089.08</v>
      </c>
      <c r="AB116" s="92">
        <f t="shared" si="9"/>
        <v>0</v>
      </c>
    </row>
    <row r="117" spans="1:28" hidden="1" x14ac:dyDescent="0.2">
      <c r="A117" s="95">
        <v>39994</v>
      </c>
      <c r="B117" s="91">
        <v>0</v>
      </c>
      <c r="C117" s="91">
        <v>-15112.55</v>
      </c>
      <c r="D117" s="90">
        <v>0</v>
      </c>
      <c r="E117" s="90">
        <f>B117-C117</f>
        <v>15112.55</v>
      </c>
      <c r="F117" s="90">
        <v>0</v>
      </c>
      <c r="G117" s="90">
        <f t="shared" si="10"/>
        <v>15112.55</v>
      </c>
      <c r="H117" s="91">
        <v>9321.41</v>
      </c>
      <c r="I117" s="91"/>
      <c r="J117" s="91">
        <v>0</v>
      </c>
      <c r="K117" s="90">
        <v>0</v>
      </c>
      <c r="L117" s="94"/>
      <c r="M117" s="94">
        <v>0</v>
      </c>
      <c r="N117" s="94"/>
      <c r="O117" s="94"/>
      <c r="P117" s="91">
        <v>0.7</v>
      </c>
      <c r="Q117" s="91"/>
      <c r="R117" s="91">
        <v>40.549999999999997</v>
      </c>
      <c r="S117" s="91"/>
      <c r="T117" s="91">
        <v>332.49</v>
      </c>
      <c r="U117" s="91"/>
      <c r="V117" s="91">
        <v>0</v>
      </c>
      <c r="W117" s="91"/>
      <c r="X117" s="91"/>
      <c r="Y117" s="91"/>
      <c r="Z117" s="91">
        <f t="shared" si="6"/>
        <v>5417.4</v>
      </c>
      <c r="AA117" s="92">
        <v>5417.4</v>
      </c>
      <c r="AB117" s="92">
        <f t="shared" si="9"/>
        <v>0</v>
      </c>
    </row>
    <row r="118" spans="1:28" hidden="1" x14ac:dyDescent="0.2">
      <c r="A118" s="95">
        <v>40086</v>
      </c>
      <c r="B118" s="91">
        <v>0</v>
      </c>
      <c r="C118" s="91">
        <v>-7237.41</v>
      </c>
      <c r="D118" s="90">
        <v>0</v>
      </c>
      <c r="E118" s="90">
        <f>B118-C118</f>
        <v>7237.41</v>
      </c>
      <c r="F118" s="90">
        <v>0</v>
      </c>
      <c r="G118" s="90">
        <f t="shared" si="10"/>
        <v>7237.41</v>
      </c>
      <c r="H118" s="91">
        <v>14940.52</v>
      </c>
      <c r="I118" s="91"/>
      <c r="J118" s="91">
        <v>0</v>
      </c>
      <c r="K118" s="90">
        <v>0</v>
      </c>
      <c r="L118" s="94"/>
      <c r="M118" s="94">
        <v>0</v>
      </c>
      <c r="N118" s="94"/>
      <c r="O118" s="94"/>
      <c r="P118" s="91">
        <v>6.98</v>
      </c>
      <c r="Q118" s="91"/>
      <c r="R118" s="91">
        <v>0</v>
      </c>
      <c r="S118" s="91"/>
      <c r="T118" s="91">
        <v>242.1</v>
      </c>
      <c r="U118" s="91"/>
      <c r="V118" s="91">
        <v>0</v>
      </c>
      <c r="W118" s="91"/>
      <c r="X118" s="91"/>
      <c r="Y118" s="91"/>
      <c r="Z118" s="91">
        <f t="shared" si="6"/>
        <v>-7952.1900000000005</v>
      </c>
      <c r="AA118" s="92">
        <v>-7952.19</v>
      </c>
      <c r="AB118" s="92">
        <f t="shared" si="9"/>
        <v>0</v>
      </c>
    </row>
    <row r="119" spans="1:28" hidden="1" x14ac:dyDescent="0.2">
      <c r="A119" s="95">
        <v>40178</v>
      </c>
      <c r="B119" s="91">
        <v>0</v>
      </c>
      <c r="C119" s="91">
        <v>-14238.55</v>
      </c>
      <c r="D119" s="90">
        <v>0</v>
      </c>
      <c r="E119" s="90">
        <f>B119-C119</f>
        <v>14238.55</v>
      </c>
      <c r="F119" s="90">
        <v>0</v>
      </c>
      <c r="G119" s="90">
        <f t="shared" si="10"/>
        <v>14238.55</v>
      </c>
      <c r="H119" s="91">
        <v>12313.27</v>
      </c>
      <c r="I119" s="91"/>
      <c r="J119" s="91">
        <v>0</v>
      </c>
      <c r="K119" s="90">
        <v>0</v>
      </c>
      <c r="L119" s="94"/>
      <c r="M119" s="94">
        <v>0</v>
      </c>
      <c r="N119" s="94"/>
      <c r="O119" s="94"/>
      <c r="P119" s="91">
        <v>0.86</v>
      </c>
      <c r="Q119" s="91"/>
      <c r="R119" s="91">
        <v>43</v>
      </c>
      <c r="S119" s="91"/>
      <c r="T119" s="91">
        <v>-630.71</v>
      </c>
      <c r="U119" s="91"/>
      <c r="V119" s="91">
        <v>0</v>
      </c>
      <c r="W119" s="91"/>
      <c r="X119" s="91"/>
      <c r="Y119" s="91"/>
      <c r="Z119" s="91">
        <f t="shared" si="6"/>
        <v>2512.1299999999992</v>
      </c>
      <c r="AA119" s="92">
        <v>2512.13</v>
      </c>
      <c r="AB119" s="92">
        <f t="shared" si="9"/>
        <v>0</v>
      </c>
    </row>
    <row r="120" spans="1:28" hidden="1" x14ac:dyDescent="0.2">
      <c r="A120" s="140">
        <v>40268</v>
      </c>
      <c r="B120" s="91" t="s">
        <v>224</v>
      </c>
      <c r="C120" s="91"/>
      <c r="D120" s="90"/>
      <c r="E120" s="90"/>
      <c r="F120" s="90"/>
      <c r="G120" s="90"/>
      <c r="H120" s="91"/>
      <c r="I120" s="91"/>
      <c r="J120" s="91"/>
      <c r="K120" s="90"/>
      <c r="L120" s="94"/>
      <c r="M120" s="94"/>
      <c r="N120" s="94"/>
      <c r="O120" s="94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2"/>
      <c r="AB120" s="92"/>
    </row>
    <row r="121" spans="1:28" hidden="1" x14ac:dyDescent="0.2">
      <c r="A121" s="95">
        <v>40359</v>
      </c>
      <c r="B121" s="91"/>
      <c r="C121" s="91"/>
      <c r="D121" s="90"/>
      <c r="E121" s="90"/>
      <c r="F121" s="90"/>
      <c r="G121" s="90"/>
      <c r="H121" s="91"/>
      <c r="I121" s="91"/>
      <c r="J121" s="91"/>
      <c r="K121" s="90"/>
      <c r="L121" s="94"/>
      <c r="M121" s="94"/>
      <c r="N121" s="94"/>
      <c r="O121" s="94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2"/>
      <c r="AB121" s="92"/>
    </row>
    <row r="122" spans="1:28" hidden="1" x14ac:dyDescent="0.2">
      <c r="A122" s="95"/>
      <c r="B122" s="96">
        <f>SUM(B68:B119)</f>
        <v>40149220.399999991</v>
      </c>
      <c r="C122" s="96">
        <f>SUM(C68:C119)</f>
        <v>305913.25999999995</v>
      </c>
      <c r="D122" s="96">
        <f>SUM(D68:D119)</f>
        <v>0</v>
      </c>
      <c r="E122" s="96">
        <f>SUM(E68:E117)</f>
        <v>78805.280000000013</v>
      </c>
      <c r="F122" s="96">
        <f>SUM(F68:F119)</f>
        <v>0</v>
      </c>
      <c r="G122" s="96">
        <f>SUM(G68:G119)</f>
        <v>39843307.139999993</v>
      </c>
      <c r="H122" s="96">
        <f>SUM(H68:H119)</f>
        <v>15938850.640000002</v>
      </c>
      <c r="I122" s="96">
        <f>SUM(I68:I107)</f>
        <v>0</v>
      </c>
      <c r="J122" s="96">
        <f>SUM(J68:J119)</f>
        <v>9148701.679999996</v>
      </c>
      <c r="K122" s="96">
        <f>SUM(K68:K117)</f>
        <v>9148701.679999996</v>
      </c>
      <c r="L122" s="97">
        <f>K122/G122</f>
        <v>0.22961702571158599</v>
      </c>
      <c r="M122" s="96">
        <f>SUM(M68:M119)</f>
        <v>0</v>
      </c>
      <c r="N122" s="96">
        <f>SUM(N68:N114)</f>
        <v>0</v>
      </c>
      <c r="O122" s="96"/>
      <c r="P122" s="96">
        <f>SUM(P68:P119)</f>
        <v>627122.63000000012</v>
      </c>
      <c r="Q122" s="96">
        <f>SUM(Q68:Q107)</f>
        <v>0</v>
      </c>
      <c r="R122" s="96">
        <f>SUM(R68:R119)</f>
        <v>2131292.3100000005</v>
      </c>
      <c r="S122" s="96">
        <f>SUM(S68:S107)</f>
        <v>0</v>
      </c>
      <c r="T122" s="96">
        <f>SUM(T68:T119)</f>
        <v>218706.44000000003</v>
      </c>
      <c r="U122" s="96">
        <f>SUM(U68:U107)</f>
        <v>0</v>
      </c>
      <c r="V122" s="96">
        <f>SUM(V68:V119)</f>
        <v>48644.01</v>
      </c>
      <c r="W122" s="96">
        <f>SUM(W68:W107)</f>
        <v>0</v>
      </c>
      <c r="X122" s="96">
        <f>SUM(X68:X107)</f>
        <v>0</v>
      </c>
      <c r="Y122" s="96">
        <f>SUM(Y68:Y107)</f>
        <v>0</v>
      </c>
      <c r="Z122" s="96">
        <f>SUM(Z68:Z119)</f>
        <v>11827277.449999992</v>
      </c>
      <c r="AA122" s="92"/>
      <c r="AB122" s="92"/>
    </row>
    <row r="123" spans="1:28" hidden="1" x14ac:dyDescent="0.2">
      <c r="A123" s="98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100"/>
      <c r="M123" s="100"/>
      <c r="N123" s="100"/>
      <c r="O123" s="100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101">
        <f>ROUND(G122-H122-J122-P122-R122-T122+V122,2)</f>
        <v>11827277.449999999</v>
      </c>
      <c r="AA123" s="92"/>
      <c r="AB123" s="92"/>
    </row>
    <row r="124" spans="1:28" hidden="1" x14ac:dyDescent="0.2">
      <c r="A124" s="82" t="s">
        <v>213</v>
      </c>
      <c r="Z124" s="102" t="str">
        <f>IF(Z123=Z122,"Check","NO")</f>
        <v>Check</v>
      </c>
      <c r="AA124" s="92"/>
      <c r="AB124" s="92"/>
    </row>
    <row r="125" spans="1:28" ht="38.25" hidden="1" x14ac:dyDescent="0.2">
      <c r="A125" s="86" t="s">
        <v>143</v>
      </c>
      <c r="B125" s="87" t="s">
        <v>144</v>
      </c>
      <c r="C125" s="87" t="s">
        <v>145</v>
      </c>
      <c r="D125" s="87" t="s">
        <v>170</v>
      </c>
      <c r="E125" s="87" t="s">
        <v>171</v>
      </c>
      <c r="F125" s="87" t="s">
        <v>172</v>
      </c>
      <c r="G125" s="87" t="s">
        <v>146</v>
      </c>
      <c r="H125" s="87" t="s">
        <v>147</v>
      </c>
      <c r="I125" s="87" t="s">
        <v>148</v>
      </c>
      <c r="J125" s="87" t="s">
        <v>169</v>
      </c>
      <c r="K125" s="87" t="s">
        <v>136</v>
      </c>
      <c r="L125" s="87" t="s">
        <v>149</v>
      </c>
      <c r="M125" s="87" t="s">
        <v>163</v>
      </c>
      <c r="N125" s="87" t="s">
        <v>164</v>
      </c>
      <c r="O125" s="87" t="s">
        <v>207</v>
      </c>
      <c r="P125" s="87" t="s">
        <v>150</v>
      </c>
      <c r="Q125" s="87" t="s">
        <v>151</v>
      </c>
      <c r="R125" s="87" t="s">
        <v>152</v>
      </c>
      <c r="S125" s="87" t="s">
        <v>153</v>
      </c>
      <c r="T125" s="87" t="s">
        <v>154</v>
      </c>
      <c r="U125" s="87" t="s">
        <v>155</v>
      </c>
      <c r="V125" s="87" t="s">
        <v>156</v>
      </c>
      <c r="W125" s="87" t="s">
        <v>157</v>
      </c>
      <c r="X125" s="87"/>
      <c r="Y125" s="87"/>
      <c r="Z125" s="87" t="s">
        <v>158</v>
      </c>
      <c r="AA125" s="87" t="s">
        <v>173</v>
      </c>
      <c r="AB125" s="87" t="s">
        <v>175</v>
      </c>
    </row>
    <row r="126" spans="1:28" hidden="1" x14ac:dyDescent="0.2">
      <c r="A126" s="88">
        <v>35885</v>
      </c>
      <c r="B126" s="89">
        <v>4099480.02</v>
      </c>
      <c r="C126" s="89">
        <v>0</v>
      </c>
      <c r="D126" s="89"/>
      <c r="E126" s="89"/>
      <c r="F126" s="89"/>
      <c r="G126" s="90">
        <f>B126-C126</f>
        <v>4099480.02</v>
      </c>
      <c r="H126" s="91">
        <v>7479.07</v>
      </c>
      <c r="I126" s="91"/>
      <c r="J126" s="91">
        <v>901144.01</v>
      </c>
      <c r="K126" s="90">
        <f>J126-M126</f>
        <v>901144.01</v>
      </c>
      <c r="L126" s="103">
        <f>K126/G126</f>
        <v>0.21981910037458849</v>
      </c>
      <c r="M126" s="103"/>
      <c r="N126" s="103"/>
      <c r="O126" s="103"/>
      <c r="P126" s="91">
        <v>176688.23</v>
      </c>
      <c r="Q126" s="103"/>
      <c r="R126" s="91">
        <v>238831.75</v>
      </c>
      <c r="S126" s="103"/>
      <c r="T126" s="91">
        <v>0</v>
      </c>
      <c r="U126" s="103"/>
      <c r="V126" s="91">
        <v>0</v>
      </c>
      <c r="W126" s="103"/>
      <c r="X126" s="89"/>
      <c r="Y126" s="89"/>
      <c r="Z126" s="91">
        <f t="shared" ref="Z126:Z157" si="11">G126-H126-J126-P126-R126-T126+V126</f>
        <v>2775336.9600000004</v>
      </c>
      <c r="AA126" s="92">
        <v>2775336.96</v>
      </c>
      <c r="AB126" s="92">
        <f t="shared" si="9"/>
        <v>0</v>
      </c>
    </row>
    <row r="127" spans="1:28" hidden="1" x14ac:dyDescent="0.2">
      <c r="A127" s="93">
        <v>35976</v>
      </c>
      <c r="B127" s="94">
        <v>5342680.4800000004</v>
      </c>
      <c r="C127" s="94">
        <v>0</v>
      </c>
      <c r="D127" s="89"/>
      <c r="E127" s="89"/>
      <c r="F127" s="89"/>
      <c r="G127" s="90">
        <f t="shared" ref="G127:G160" si="12">B127-C127</f>
        <v>5342680.4800000004</v>
      </c>
      <c r="H127" s="91">
        <v>141077.71</v>
      </c>
      <c r="I127" s="91"/>
      <c r="J127" s="91">
        <v>1167327.5</v>
      </c>
      <c r="K127" s="90">
        <f t="shared" ref="K127:K158" si="13">J127-M127</f>
        <v>1167327.5</v>
      </c>
      <c r="L127" s="103"/>
      <c r="M127" s="103"/>
      <c r="N127" s="103"/>
      <c r="O127" s="103"/>
      <c r="P127" s="91">
        <v>166044.57</v>
      </c>
      <c r="Q127" s="103"/>
      <c r="R127" s="91">
        <v>304763.17</v>
      </c>
      <c r="S127" s="103"/>
      <c r="T127" s="91">
        <v>31.89</v>
      </c>
      <c r="U127" s="103"/>
      <c r="V127" s="91">
        <v>0</v>
      </c>
      <c r="W127" s="103"/>
      <c r="X127" s="94"/>
      <c r="Y127" s="94"/>
      <c r="Z127" s="91">
        <f t="shared" si="11"/>
        <v>3563435.6400000006</v>
      </c>
      <c r="AA127" s="92">
        <v>3563435.64</v>
      </c>
      <c r="AB127" s="92">
        <f t="shared" si="9"/>
        <v>0</v>
      </c>
    </row>
    <row r="128" spans="1:28" hidden="1" x14ac:dyDescent="0.2">
      <c r="A128" s="93">
        <v>36068</v>
      </c>
      <c r="B128" s="94">
        <v>5448350.5800000001</v>
      </c>
      <c r="C128" s="94">
        <v>0</v>
      </c>
      <c r="D128" s="89"/>
      <c r="E128" s="89"/>
      <c r="F128" s="89"/>
      <c r="G128" s="90">
        <f t="shared" si="12"/>
        <v>5448350.5800000001</v>
      </c>
      <c r="H128" s="91">
        <v>200246.66</v>
      </c>
      <c r="I128" s="91"/>
      <c r="J128" s="91">
        <v>1198831.25</v>
      </c>
      <c r="K128" s="90">
        <f t="shared" si="13"/>
        <v>1198831.25</v>
      </c>
      <c r="L128" s="103"/>
      <c r="M128" s="103"/>
      <c r="N128" s="103"/>
      <c r="O128" s="103"/>
      <c r="P128" s="91">
        <v>179536.8</v>
      </c>
      <c r="Q128" s="103"/>
      <c r="R128" s="91">
        <v>303699.65999999997</v>
      </c>
      <c r="S128" s="103"/>
      <c r="T128" s="91">
        <v>68.75</v>
      </c>
      <c r="U128" s="103"/>
      <c r="V128" s="91">
        <v>0</v>
      </c>
      <c r="W128" s="103"/>
      <c r="X128" s="94"/>
      <c r="Y128" s="94"/>
      <c r="Z128" s="91">
        <f t="shared" si="11"/>
        <v>3565967.46</v>
      </c>
      <c r="AA128" s="92">
        <v>3565967.46</v>
      </c>
      <c r="AB128" s="92">
        <f t="shared" si="9"/>
        <v>0</v>
      </c>
    </row>
    <row r="129" spans="1:28" hidden="1" x14ac:dyDescent="0.2">
      <c r="A129" s="93">
        <v>36160</v>
      </c>
      <c r="B129" s="94">
        <v>6192281.4800000004</v>
      </c>
      <c r="C129" s="94">
        <v>3374.66</v>
      </c>
      <c r="D129" s="89"/>
      <c r="E129" s="89"/>
      <c r="F129" s="89"/>
      <c r="G129" s="90">
        <f t="shared" si="12"/>
        <v>6188906.8200000003</v>
      </c>
      <c r="H129" s="91">
        <v>460863.41</v>
      </c>
      <c r="I129" s="91"/>
      <c r="J129" s="91">
        <v>1338350.3700000001</v>
      </c>
      <c r="K129" s="90">
        <f t="shared" si="13"/>
        <v>1338350.3700000001</v>
      </c>
      <c r="L129" s="103"/>
      <c r="M129" s="103"/>
      <c r="N129" s="103"/>
      <c r="O129" s="103"/>
      <c r="P129" s="91">
        <v>89333.58</v>
      </c>
      <c r="Q129" s="103"/>
      <c r="R129" s="91">
        <v>303733.65999999997</v>
      </c>
      <c r="S129" s="103"/>
      <c r="T129" s="91">
        <v>1203.47</v>
      </c>
      <c r="U129" s="103"/>
      <c r="V129" s="91">
        <v>28084.44</v>
      </c>
      <c r="W129" s="103"/>
      <c r="X129" s="94"/>
      <c r="Y129" s="94"/>
      <c r="Z129" s="91">
        <f t="shared" si="11"/>
        <v>4023506.7699999996</v>
      </c>
      <c r="AA129" s="92">
        <v>4023506.77</v>
      </c>
      <c r="AB129" s="92">
        <f t="shared" si="9"/>
        <v>0</v>
      </c>
    </row>
    <row r="130" spans="1:28" hidden="1" x14ac:dyDescent="0.2">
      <c r="A130" s="88">
        <v>36250</v>
      </c>
      <c r="B130" s="89">
        <v>1227585.5</v>
      </c>
      <c r="C130" s="89">
        <v>4266</v>
      </c>
      <c r="D130" s="89"/>
      <c r="E130" s="89"/>
      <c r="F130" s="89"/>
      <c r="G130" s="90">
        <f t="shared" si="12"/>
        <v>1223319.5</v>
      </c>
      <c r="H130" s="91">
        <v>979437.52</v>
      </c>
      <c r="I130" s="91"/>
      <c r="J130" s="91">
        <v>267798.89</v>
      </c>
      <c r="K130" s="90">
        <f t="shared" si="13"/>
        <v>267798.89</v>
      </c>
      <c r="L130" s="103"/>
      <c r="M130" s="103"/>
      <c r="N130" s="103"/>
      <c r="O130" s="103"/>
      <c r="P130" s="91">
        <v>15685.05</v>
      </c>
      <c r="Q130" s="103"/>
      <c r="R130" s="91">
        <v>53992</v>
      </c>
      <c r="S130" s="103"/>
      <c r="T130" s="91">
        <v>599.97</v>
      </c>
      <c r="U130" s="103"/>
      <c r="V130" s="91">
        <v>0</v>
      </c>
      <c r="W130" s="103"/>
      <c r="X130" s="89"/>
      <c r="Y130" s="89"/>
      <c r="Z130" s="91">
        <f t="shared" si="11"/>
        <v>-94193.930000000037</v>
      </c>
      <c r="AA130" s="92">
        <v>-94193.93</v>
      </c>
      <c r="AB130" s="92">
        <f t="shared" si="9"/>
        <v>0</v>
      </c>
    </row>
    <row r="131" spans="1:28" hidden="1" x14ac:dyDescent="0.2">
      <c r="A131" s="93">
        <v>36341</v>
      </c>
      <c r="B131" s="94">
        <v>92441.18</v>
      </c>
      <c r="C131" s="94">
        <v>25811</v>
      </c>
      <c r="D131" s="89"/>
      <c r="E131" s="89"/>
      <c r="F131" s="89"/>
      <c r="G131" s="90">
        <f t="shared" si="12"/>
        <v>66630.179999999993</v>
      </c>
      <c r="H131" s="91">
        <v>877823.89</v>
      </c>
      <c r="I131" s="91"/>
      <c r="J131" s="91">
        <v>23716.3</v>
      </c>
      <c r="K131" s="90">
        <f t="shared" si="13"/>
        <v>23716.3</v>
      </c>
      <c r="L131" s="103"/>
      <c r="M131" s="103"/>
      <c r="N131" s="103"/>
      <c r="O131" s="103"/>
      <c r="P131" s="91">
        <v>21336.71</v>
      </c>
      <c r="Q131" s="103"/>
      <c r="R131" s="91">
        <v>-9978.61</v>
      </c>
      <c r="S131" s="103"/>
      <c r="T131" s="91">
        <v>409.45</v>
      </c>
      <c r="U131" s="103"/>
      <c r="V131" s="91">
        <v>0</v>
      </c>
      <c r="W131" s="103"/>
      <c r="X131" s="94"/>
      <c r="Y131" s="94"/>
      <c r="Z131" s="91">
        <f t="shared" si="11"/>
        <v>-846677.55999999994</v>
      </c>
      <c r="AA131" s="92">
        <v>-846677.56</v>
      </c>
      <c r="AB131" s="92">
        <f t="shared" si="9"/>
        <v>0</v>
      </c>
    </row>
    <row r="132" spans="1:28" hidden="1" x14ac:dyDescent="0.2">
      <c r="A132" s="93">
        <v>36433</v>
      </c>
      <c r="B132" s="94">
        <v>857158.81</v>
      </c>
      <c r="C132" s="94">
        <v>173805.93</v>
      </c>
      <c r="D132" s="89"/>
      <c r="E132" s="89"/>
      <c r="F132" s="89"/>
      <c r="G132" s="90">
        <f t="shared" si="12"/>
        <v>683352.88000000012</v>
      </c>
      <c r="H132" s="91">
        <v>693391.85</v>
      </c>
      <c r="I132" s="91"/>
      <c r="J132" s="91">
        <v>201284.75</v>
      </c>
      <c r="K132" s="90">
        <f t="shared" si="13"/>
        <v>201284.75</v>
      </c>
      <c r="L132" s="103"/>
      <c r="M132" s="103"/>
      <c r="N132" s="103"/>
      <c r="O132" s="103"/>
      <c r="P132" s="91">
        <v>13550.36</v>
      </c>
      <c r="Q132" s="103"/>
      <c r="R132" s="91">
        <v>-14028.62</v>
      </c>
      <c r="S132" s="103"/>
      <c r="T132" s="91">
        <v>4187.24</v>
      </c>
      <c r="U132" s="103"/>
      <c r="V132" s="91">
        <v>0</v>
      </c>
      <c r="W132" s="103"/>
      <c r="X132" s="94"/>
      <c r="Y132" s="94"/>
      <c r="Z132" s="91">
        <f t="shared" si="11"/>
        <v>-215032.69999999984</v>
      </c>
      <c r="AA132" s="92">
        <v>-215032.7</v>
      </c>
      <c r="AB132" s="92">
        <f t="shared" si="9"/>
        <v>0</v>
      </c>
    </row>
    <row r="133" spans="1:28" hidden="1" x14ac:dyDescent="0.2">
      <c r="A133" s="93">
        <v>36525</v>
      </c>
      <c r="B133" s="94">
        <v>235941.28</v>
      </c>
      <c r="C133" s="94">
        <v>29524.71</v>
      </c>
      <c r="D133" s="89"/>
      <c r="E133" s="89"/>
      <c r="F133" s="89"/>
      <c r="G133" s="90">
        <f t="shared" si="12"/>
        <v>206416.57</v>
      </c>
      <c r="H133" s="91">
        <v>764087.73</v>
      </c>
      <c r="I133" s="91"/>
      <c r="J133" s="91">
        <v>57189.05</v>
      </c>
      <c r="K133" s="90">
        <f t="shared" si="13"/>
        <v>57189.05</v>
      </c>
      <c r="L133" s="103"/>
      <c r="M133" s="103"/>
      <c r="N133" s="103"/>
      <c r="O133" s="103"/>
      <c r="P133" s="91">
        <v>22997.17</v>
      </c>
      <c r="Q133" s="103"/>
      <c r="R133" s="91">
        <v>14961.66</v>
      </c>
      <c r="S133" s="103"/>
      <c r="T133" s="91">
        <v>6834.86</v>
      </c>
      <c r="U133" s="103"/>
      <c r="V133" s="91">
        <v>0</v>
      </c>
      <c r="W133" s="103"/>
      <c r="X133" s="94"/>
      <c r="Y133" s="94"/>
      <c r="Z133" s="91">
        <f t="shared" si="11"/>
        <v>-659653.9</v>
      </c>
      <c r="AA133" s="92">
        <v>-659653.9</v>
      </c>
      <c r="AB133" s="92">
        <f t="shared" si="9"/>
        <v>0</v>
      </c>
    </row>
    <row r="134" spans="1:28" hidden="1" x14ac:dyDescent="0.2">
      <c r="A134" s="88">
        <v>36616</v>
      </c>
      <c r="B134" s="89">
        <v>142145.76</v>
      </c>
      <c r="C134" s="89">
        <v>105573.98</v>
      </c>
      <c r="D134" s="89"/>
      <c r="E134" s="89"/>
      <c r="F134" s="89"/>
      <c r="G134" s="90">
        <f t="shared" si="12"/>
        <v>36571.780000000013</v>
      </c>
      <c r="H134" s="91">
        <v>687293.35</v>
      </c>
      <c r="I134" s="91"/>
      <c r="J134" s="91">
        <v>32654.22</v>
      </c>
      <c r="K134" s="90">
        <f t="shared" si="13"/>
        <v>32654.22</v>
      </c>
      <c r="L134" s="103"/>
      <c r="M134" s="103"/>
      <c r="N134" s="103"/>
      <c r="O134" s="103"/>
      <c r="P134" s="91">
        <v>4684.4799999999996</v>
      </c>
      <c r="Q134" s="103"/>
      <c r="R134" s="91">
        <v>-11205.04</v>
      </c>
      <c r="S134" s="103"/>
      <c r="T134" s="91">
        <v>11159.63</v>
      </c>
      <c r="U134" s="103"/>
      <c r="V134" s="91">
        <v>0</v>
      </c>
      <c r="W134" s="103"/>
      <c r="X134" s="89"/>
      <c r="Y134" s="89"/>
      <c r="Z134" s="91">
        <f t="shared" si="11"/>
        <v>-688014.85999999987</v>
      </c>
      <c r="AA134" s="92">
        <v>-688014.86</v>
      </c>
      <c r="AB134" s="92">
        <f t="shared" si="9"/>
        <v>0</v>
      </c>
    </row>
    <row r="135" spans="1:28" hidden="1" x14ac:dyDescent="0.2">
      <c r="A135" s="93">
        <v>36707</v>
      </c>
      <c r="B135" s="94">
        <v>13340.32</v>
      </c>
      <c r="C135" s="94">
        <v>171160.71</v>
      </c>
      <c r="D135" s="89"/>
      <c r="E135" s="89"/>
      <c r="F135" s="89"/>
      <c r="G135" s="90">
        <f t="shared" si="12"/>
        <v>-157820.38999999998</v>
      </c>
      <c r="H135" s="91">
        <v>735851.65</v>
      </c>
      <c r="I135" s="91"/>
      <c r="J135" s="91">
        <v>5435.68</v>
      </c>
      <c r="K135" s="90">
        <f t="shared" si="13"/>
        <v>5435.68</v>
      </c>
      <c r="L135" s="103"/>
      <c r="M135" s="103"/>
      <c r="N135" s="103"/>
      <c r="O135" s="103"/>
      <c r="P135" s="91">
        <v>5813.41</v>
      </c>
      <c r="Q135" s="103"/>
      <c r="R135" s="91">
        <v>-16321.81</v>
      </c>
      <c r="S135" s="103"/>
      <c r="T135" s="91">
        <v>12528.75</v>
      </c>
      <c r="U135" s="103"/>
      <c r="V135" s="91">
        <v>0</v>
      </c>
      <c r="W135" s="103"/>
      <c r="X135" s="94"/>
      <c r="Y135" s="94"/>
      <c r="Z135" s="91">
        <f t="shared" si="11"/>
        <v>-901128.07000000007</v>
      </c>
      <c r="AA135" s="92">
        <v>-901128.07</v>
      </c>
      <c r="AB135" s="92">
        <f t="shared" si="9"/>
        <v>0</v>
      </c>
    </row>
    <row r="136" spans="1:28" hidden="1" x14ac:dyDescent="0.2">
      <c r="A136" s="93">
        <v>36799</v>
      </c>
      <c r="B136" s="94">
        <v>27783.46</v>
      </c>
      <c r="C136" s="94">
        <v>19147.599999999999</v>
      </c>
      <c r="D136" s="89"/>
      <c r="E136" s="89"/>
      <c r="F136" s="89"/>
      <c r="G136" s="90">
        <f t="shared" si="12"/>
        <v>8635.86</v>
      </c>
      <c r="H136" s="91">
        <v>502546.51</v>
      </c>
      <c r="I136" s="91"/>
      <c r="J136" s="91">
        <v>7081.42</v>
      </c>
      <c r="K136" s="90">
        <f t="shared" si="13"/>
        <v>7081.42</v>
      </c>
      <c r="L136" s="103"/>
      <c r="M136" s="103"/>
      <c r="N136" s="103"/>
      <c r="O136" s="103"/>
      <c r="P136" s="91">
        <v>97.64</v>
      </c>
      <c r="Q136" s="103"/>
      <c r="R136" s="91">
        <v>-822.19</v>
      </c>
      <c r="S136" s="103"/>
      <c r="T136" s="91">
        <v>14729.85</v>
      </c>
      <c r="U136" s="103"/>
      <c r="V136" s="91">
        <v>0</v>
      </c>
      <c r="W136" s="103"/>
      <c r="X136" s="94"/>
      <c r="Y136" s="94"/>
      <c r="Z136" s="91">
        <f t="shared" si="11"/>
        <v>-514997.37</v>
      </c>
      <c r="AA136" s="92">
        <v>-514997.37</v>
      </c>
      <c r="AB136" s="92">
        <f t="shared" si="9"/>
        <v>0</v>
      </c>
    </row>
    <row r="137" spans="1:28" hidden="1" x14ac:dyDescent="0.2">
      <c r="A137" s="93">
        <v>36891</v>
      </c>
      <c r="B137" s="94">
        <v>-6378.2</v>
      </c>
      <c r="C137" s="94">
        <v>-37007.81</v>
      </c>
      <c r="D137" s="89"/>
      <c r="E137" s="89"/>
      <c r="F137" s="89"/>
      <c r="G137" s="90">
        <f t="shared" si="12"/>
        <v>30629.609999999997</v>
      </c>
      <c r="H137" s="91">
        <v>607467.36</v>
      </c>
      <c r="I137" s="91"/>
      <c r="J137" s="91">
        <v>-732.58</v>
      </c>
      <c r="K137" s="90">
        <f t="shared" si="13"/>
        <v>-732.58</v>
      </c>
      <c r="L137" s="103"/>
      <c r="M137" s="103"/>
      <c r="N137" s="103"/>
      <c r="O137" s="103"/>
      <c r="P137" s="91">
        <v>3175.32</v>
      </c>
      <c r="Q137" s="103"/>
      <c r="R137" s="91">
        <v>-2013.77</v>
      </c>
      <c r="S137" s="103"/>
      <c r="T137" s="91">
        <v>8186.25</v>
      </c>
      <c r="U137" s="103"/>
      <c r="V137" s="91">
        <v>0</v>
      </c>
      <c r="W137" s="103"/>
      <c r="X137" s="94"/>
      <c r="Y137" s="94"/>
      <c r="Z137" s="91">
        <f t="shared" si="11"/>
        <v>-585452.97</v>
      </c>
      <c r="AA137" s="92">
        <v>-585452.97</v>
      </c>
      <c r="AB137" s="92">
        <f t="shared" si="9"/>
        <v>0</v>
      </c>
    </row>
    <row r="138" spans="1:28" hidden="1" x14ac:dyDescent="0.2">
      <c r="A138" s="88">
        <v>36981</v>
      </c>
      <c r="B138" s="89">
        <v>-4298</v>
      </c>
      <c r="C138" s="89">
        <v>-16632.990000000002</v>
      </c>
      <c r="D138" s="89"/>
      <c r="E138" s="89"/>
      <c r="F138" s="89"/>
      <c r="G138" s="90">
        <f t="shared" si="12"/>
        <v>12334.990000000002</v>
      </c>
      <c r="H138" s="91">
        <v>479217.91999999998</v>
      </c>
      <c r="I138" s="91"/>
      <c r="J138" s="91">
        <v>-1031.52</v>
      </c>
      <c r="K138" s="90">
        <f t="shared" si="13"/>
        <v>-1031.52</v>
      </c>
      <c r="L138" s="103"/>
      <c r="M138" s="103"/>
      <c r="N138" s="103"/>
      <c r="O138" s="103"/>
      <c r="P138" s="91">
        <v>-315.92</v>
      </c>
      <c r="Q138" s="103"/>
      <c r="R138" s="91">
        <v>-1142.58</v>
      </c>
      <c r="S138" s="103"/>
      <c r="T138" s="91">
        <v>3896.74</v>
      </c>
      <c r="U138" s="103"/>
      <c r="V138" s="91">
        <v>0</v>
      </c>
      <c r="W138" s="103"/>
      <c r="X138" s="89"/>
      <c r="Y138" s="89"/>
      <c r="Z138" s="91">
        <f t="shared" si="11"/>
        <v>-468289.64999999997</v>
      </c>
      <c r="AA138" s="92">
        <v>-468289.65</v>
      </c>
      <c r="AB138" s="92">
        <f t="shared" si="9"/>
        <v>0</v>
      </c>
    </row>
    <row r="139" spans="1:28" hidden="1" x14ac:dyDescent="0.2">
      <c r="A139" s="93">
        <v>37072</v>
      </c>
      <c r="B139" s="94">
        <v>46489.99</v>
      </c>
      <c r="C139" s="94">
        <v>-39598.9</v>
      </c>
      <c r="D139" s="89"/>
      <c r="E139" s="89"/>
      <c r="F139" s="89"/>
      <c r="G139" s="90">
        <f t="shared" si="12"/>
        <v>86088.89</v>
      </c>
      <c r="H139" s="91">
        <v>446351.09</v>
      </c>
      <c r="I139" s="91"/>
      <c r="J139" s="91">
        <v>11098.71</v>
      </c>
      <c r="K139" s="90">
        <f t="shared" si="13"/>
        <v>11098.71</v>
      </c>
      <c r="L139" s="103"/>
      <c r="M139" s="103"/>
      <c r="N139" s="103"/>
      <c r="O139" s="103"/>
      <c r="P139" s="91">
        <v>2509.92</v>
      </c>
      <c r="Q139" s="103"/>
      <c r="R139" s="91">
        <v>2286.44</v>
      </c>
      <c r="S139" s="103"/>
      <c r="T139" s="91">
        <v>3308.81</v>
      </c>
      <c r="U139" s="103"/>
      <c r="V139" s="91">
        <v>0</v>
      </c>
      <c r="W139" s="103"/>
      <c r="X139" s="94"/>
      <c r="Y139" s="94"/>
      <c r="Z139" s="91">
        <f t="shared" si="11"/>
        <v>-379466.08</v>
      </c>
      <c r="AA139" s="92">
        <v>-379466.08</v>
      </c>
      <c r="AB139" s="92">
        <f t="shared" si="9"/>
        <v>0</v>
      </c>
    </row>
    <row r="140" spans="1:28" hidden="1" x14ac:dyDescent="0.2">
      <c r="A140" s="93">
        <v>37164</v>
      </c>
      <c r="B140" s="94">
        <v>-11534</v>
      </c>
      <c r="C140" s="94">
        <v>39776.400000000001</v>
      </c>
      <c r="D140" s="89"/>
      <c r="E140" s="89"/>
      <c r="F140" s="89"/>
      <c r="G140" s="90">
        <f t="shared" si="12"/>
        <v>-51310.400000000001</v>
      </c>
      <c r="H140" s="91">
        <v>165471.63</v>
      </c>
      <c r="I140" s="91"/>
      <c r="J140" s="91">
        <v>-2862.48</v>
      </c>
      <c r="K140" s="90">
        <f t="shared" si="13"/>
        <v>-2862.48</v>
      </c>
      <c r="L140" s="103"/>
      <c r="M140" s="103"/>
      <c r="N140" s="103"/>
      <c r="O140" s="103"/>
      <c r="P140" s="91">
        <v>1130.92</v>
      </c>
      <c r="Q140" s="103"/>
      <c r="R140" s="91">
        <v>-4522.42</v>
      </c>
      <c r="S140" s="103"/>
      <c r="T140" s="91">
        <v>2341.5</v>
      </c>
      <c r="U140" s="103"/>
      <c r="V140" s="91">
        <v>0</v>
      </c>
      <c r="W140" s="103"/>
      <c r="X140" s="94"/>
      <c r="Y140" s="94"/>
      <c r="Z140" s="91">
        <f t="shared" si="11"/>
        <v>-212869.55</v>
      </c>
      <c r="AA140" s="92">
        <v>-212869.55</v>
      </c>
      <c r="AB140" s="92">
        <f t="shared" si="9"/>
        <v>0</v>
      </c>
    </row>
    <row r="141" spans="1:28" hidden="1" x14ac:dyDescent="0.2">
      <c r="A141" s="93">
        <v>37256</v>
      </c>
      <c r="B141" s="94">
        <v>-7669.7</v>
      </c>
      <c r="C141" s="94">
        <v>-20243.53</v>
      </c>
      <c r="D141" s="89"/>
      <c r="E141" s="89"/>
      <c r="F141" s="89"/>
      <c r="G141" s="90">
        <f t="shared" si="12"/>
        <v>12573.829999999998</v>
      </c>
      <c r="H141" s="91">
        <v>377851.93</v>
      </c>
      <c r="I141" s="91"/>
      <c r="J141" s="91">
        <v>-1933.57</v>
      </c>
      <c r="K141" s="90">
        <f t="shared" si="13"/>
        <v>-1933.57</v>
      </c>
      <c r="L141" s="103"/>
      <c r="M141" s="103"/>
      <c r="N141" s="103"/>
      <c r="O141" s="103"/>
      <c r="P141" s="91">
        <v>1453.74</v>
      </c>
      <c r="Q141" s="103"/>
      <c r="R141" s="91">
        <v>-2717.29</v>
      </c>
      <c r="S141" s="103"/>
      <c r="T141" s="91">
        <v>938.5</v>
      </c>
      <c r="U141" s="103"/>
      <c r="V141" s="91">
        <v>0</v>
      </c>
      <c r="W141" s="103"/>
      <c r="X141" s="94"/>
      <c r="Y141" s="94"/>
      <c r="Z141" s="91">
        <f t="shared" si="11"/>
        <v>-363019.48</v>
      </c>
      <c r="AA141" s="92">
        <v>-363019.48</v>
      </c>
      <c r="AB141" s="92">
        <f t="shared" si="9"/>
        <v>0</v>
      </c>
    </row>
    <row r="142" spans="1:28" hidden="1" x14ac:dyDescent="0.2">
      <c r="A142" s="93">
        <v>37346</v>
      </c>
      <c r="B142" s="94">
        <v>1449.67</v>
      </c>
      <c r="C142" s="94">
        <v>7101.66</v>
      </c>
      <c r="D142" s="89"/>
      <c r="E142" s="89"/>
      <c r="F142" s="89"/>
      <c r="G142" s="90">
        <f t="shared" si="12"/>
        <v>-5651.99</v>
      </c>
      <c r="H142" s="91">
        <v>207532.61</v>
      </c>
      <c r="I142" s="91"/>
      <c r="J142" s="91">
        <v>347.92</v>
      </c>
      <c r="K142" s="90">
        <f t="shared" si="13"/>
        <v>347.92</v>
      </c>
      <c r="L142" s="103"/>
      <c r="M142" s="103"/>
      <c r="N142" s="103"/>
      <c r="O142" s="103"/>
      <c r="P142" s="91">
        <v>10.82</v>
      </c>
      <c r="Q142" s="103"/>
      <c r="R142" s="91">
        <v>-2.69</v>
      </c>
      <c r="S142" s="103"/>
      <c r="T142" s="91">
        <v>-199.3</v>
      </c>
      <c r="U142" s="103"/>
      <c r="V142" s="91">
        <v>0</v>
      </c>
      <c r="W142" s="103"/>
      <c r="X142" s="94"/>
      <c r="Y142" s="94"/>
      <c r="Z142" s="91">
        <f t="shared" si="11"/>
        <v>-213341.35</v>
      </c>
      <c r="AA142" s="92">
        <v>-213341.35</v>
      </c>
      <c r="AB142" s="92">
        <f t="shared" si="9"/>
        <v>0</v>
      </c>
    </row>
    <row r="143" spans="1:28" hidden="1" x14ac:dyDescent="0.2">
      <c r="A143" s="93">
        <v>37437</v>
      </c>
      <c r="B143" s="94">
        <v>0</v>
      </c>
      <c r="C143" s="94">
        <v>-956.8</v>
      </c>
      <c r="D143" s="89"/>
      <c r="E143" s="89"/>
      <c r="F143" s="89"/>
      <c r="G143" s="90">
        <f t="shared" si="12"/>
        <v>956.8</v>
      </c>
      <c r="H143" s="91">
        <v>254385.89</v>
      </c>
      <c r="I143" s="91"/>
      <c r="J143" s="91">
        <v>-2</v>
      </c>
      <c r="K143" s="90">
        <f t="shared" si="13"/>
        <v>-2</v>
      </c>
      <c r="L143" s="103"/>
      <c r="M143" s="103"/>
      <c r="N143" s="103"/>
      <c r="O143" s="103"/>
      <c r="P143" s="91">
        <v>-0.8</v>
      </c>
      <c r="Q143" s="103"/>
      <c r="R143" s="91">
        <v>207.03</v>
      </c>
      <c r="S143" s="103"/>
      <c r="T143" s="91">
        <v>424</v>
      </c>
      <c r="U143" s="103"/>
      <c r="V143" s="91">
        <v>0</v>
      </c>
      <c r="W143" s="103"/>
      <c r="X143" s="94"/>
      <c r="Y143" s="94"/>
      <c r="Z143" s="91">
        <f t="shared" si="11"/>
        <v>-254057.32000000004</v>
      </c>
      <c r="AA143" s="92">
        <v>-254057.32</v>
      </c>
      <c r="AB143" s="92">
        <f t="shared" si="9"/>
        <v>0</v>
      </c>
    </row>
    <row r="144" spans="1:28" hidden="1" x14ac:dyDescent="0.2">
      <c r="A144" s="93">
        <v>37620</v>
      </c>
      <c r="B144" s="94">
        <v>0</v>
      </c>
      <c r="C144" s="94">
        <v>-427.59</v>
      </c>
      <c r="D144" s="89"/>
      <c r="E144" s="89"/>
      <c r="F144" s="89"/>
      <c r="G144" s="90">
        <f t="shared" si="12"/>
        <v>427.59</v>
      </c>
      <c r="H144" s="91">
        <v>158549.34</v>
      </c>
      <c r="I144" s="91"/>
      <c r="J144" s="91">
        <v>0</v>
      </c>
      <c r="K144" s="90">
        <f t="shared" si="13"/>
        <v>0</v>
      </c>
      <c r="L144" s="103"/>
      <c r="M144" s="103"/>
      <c r="N144" s="103"/>
      <c r="O144" s="103"/>
      <c r="P144" s="91">
        <v>0</v>
      </c>
      <c r="Q144" s="103"/>
      <c r="R144" s="91">
        <v>0</v>
      </c>
      <c r="S144" s="103"/>
      <c r="T144" s="91">
        <v>4771.93</v>
      </c>
      <c r="U144" s="103"/>
      <c r="V144" s="91">
        <v>0</v>
      </c>
      <c r="W144" s="103"/>
      <c r="X144" s="94"/>
      <c r="Y144" s="94"/>
      <c r="Z144" s="91">
        <f t="shared" si="11"/>
        <v>-162893.68</v>
      </c>
      <c r="AA144" s="92">
        <v>-162893.68</v>
      </c>
      <c r="AB144" s="92">
        <f t="shared" si="9"/>
        <v>0</v>
      </c>
    </row>
    <row r="145" spans="1:28" hidden="1" x14ac:dyDescent="0.2">
      <c r="A145" s="93">
        <v>37621</v>
      </c>
      <c r="B145" s="94">
        <v>0</v>
      </c>
      <c r="C145" s="94">
        <v>-283.8</v>
      </c>
      <c r="D145" s="89"/>
      <c r="E145" s="89"/>
      <c r="F145" s="89"/>
      <c r="G145" s="90">
        <f t="shared" si="12"/>
        <v>283.8</v>
      </c>
      <c r="H145" s="91">
        <v>43906.080000000002</v>
      </c>
      <c r="I145" s="91"/>
      <c r="J145" s="91">
        <v>0</v>
      </c>
      <c r="K145" s="90">
        <f t="shared" si="13"/>
        <v>0</v>
      </c>
      <c r="L145" s="103"/>
      <c r="M145" s="103"/>
      <c r="N145" s="103"/>
      <c r="O145" s="103"/>
      <c r="P145" s="91">
        <v>0</v>
      </c>
      <c r="Q145" s="103"/>
      <c r="R145" s="91">
        <v>0</v>
      </c>
      <c r="S145" s="103"/>
      <c r="T145" s="91">
        <v>146.65</v>
      </c>
      <c r="U145" s="103"/>
      <c r="V145" s="91">
        <v>0</v>
      </c>
      <c r="W145" s="103"/>
      <c r="X145" s="94"/>
      <c r="Y145" s="94"/>
      <c r="Z145" s="91">
        <f t="shared" si="11"/>
        <v>-43768.93</v>
      </c>
      <c r="AA145" s="92">
        <v>-43768.93</v>
      </c>
      <c r="AB145" s="92">
        <f t="shared" si="9"/>
        <v>0</v>
      </c>
    </row>
    <row r="146" spans="1:28" hidden="1" x14ac:dyDescent="0.2">
      <c r="A146" s="95">
        <v>37711</v>
      </c>
      <c r="B146" s="91">
        <v>0</v>
      </c>
      <c r="C146" s="91">
        <v>-283.8</v>
      </c>
      <c r="D146" s="90"/>
      <c r="E146" s="90"/>
      <c r="F146" s="90"/>
      <c r="G146" s="90">
        <f t="shared" si="12"/>
        <v>283.8</v>
      </c>
      <c r="H146" s="91">
        <v>295006.84999999998</v>
      </c>
      <c r="I146" s="91"/>
      <c r="J146" s="91">
        <v>0</v>
      </c>
      <c r="K146" s="90">
        <f t="shared" si="13"/>
        <v>0</v>
      </c>
      <c r="L146" s="103"/>
      <c r="M146" s="103"/>
      <c r="N146" s="103"/>
      <c r="O146" s="103"/>
      <c r="P146" s="91">
        <v>0</v>
      </c>
      <c r="Q146" s="103"/>
      <c r="R146" s="91">
        <v>0</v>
      </c>
      <c r="S146" s="103"/>
      <c r="T146" s="91">
        <v>160</v>
      </c>
      <c r="U146" s="103"/>
      <c r="V146" s="91">
        <v>0</v>
      </c>
      <c r="W146" s="103"/>
      <c r="X146" s="91"/>
      <c r="Y146" s="91"/>
      <c r="Z146" s="91">
        <f t="shared" si="11"/>
        <v>-294883.05</v>
      </c>
      <c r="AA146" s="92">
        <v>-294883.05</v>
      </c>
      <c r="AB146" s="92">
        <f t="shared" si="9"/>
        <v>0</v>
      </c>
    </row>
    <row r="147" spans="1:28" hidden="1" x14ac:dyDescent="0.2">
      <c r="A147" s="95">
        <v>37802</v>
      </c>
      <c r="B147" s="91">
        <v>0</v>
      </c>
      <c r="C147" s="91">
        <v>-472.81</v>
      </c>
      <c r="D147" s="90"/>
      <c r="E147" s="90"/>
      <c r="F147" s="90"/>
      <c r="G147" s="90">
        <f t="shared" si="12"/>
        <v>472.81</v>
      </c>
      <c r="H147" s="91">
        <v>85913.86</v>
      </c>
      <c r="I147" s="91"/>
      <c r="J147" s="91">
        <v>0</v>
      </c>
      <c r="K147" s="90">
        <f t="shared" si="13"/>
        <v>0</v>
      </c>
      <c r="L147" s="103"/>
      <c r="M147" s="103"/>
      <c r="N147" s="103"/>
      <c r="O147" s="103"/>
      <c r="P147" s="91">
        <v>0</v>
      </c>
      <c r="Q147" s="103"/>
      <c r="R147" s="91">
        <v>0</v>
      </c>
      <c r="S147" s="103"/>
      <c r="T147" s="91">
        <v>139.19999999999999</v>
      </c>
      <c r="U147" s="103"/>
      <c r="V147" s="91">
        <v>0</v>
      </c>
      <c r="W147" s="103"/>
      <c r="X147" s="91"/>
      <c r="Y147" s="91"/>
      <c r="Z147" s="91">
        <f t="shared" si="11"/>
        <v>-85580.25</v>
      </c>
      <c r="AA147" s="92">
        <v>-85580.25</v>
      </c>
      <c r="AB147" s="92">
        <f t="shared" si="9"/>
        <v>0</v>
      </c>
    </row>
    <row r="148" spans="1:28" hidden="1" x14ac:dyDescent="0.2">
      <c r="A148" s="95">
        <v>37894</v>
      </c>
      <c r="B148" s="91">
        <v>0</v>
      </c>
      <c r="C148" s="91">
        <v>0</v>
      </c>
      <c r="D148" s="90"/>
      <c r="E148" s="90"/>
      <c r="F148" s="90"/>
      <c r="G148" s="90">
        <f t="shared" si="12"/>
        <v>0</v>
      </c>
      <c r="H148" s="91">
        <v>42364.74</v>
      </c>
      <c r="I148" s="91"/>
      <c r="J148" s="91">
        <v>0</v>
      </c>
      <c r="K148" s="90">
        <f t="shared" si="13"/>
        <v>0</v>
      </c>
      <c r="L148" s="103"/>
      <c r="M148" s="103"/>
      <c r="N148" s="103"/>
      <c r="O148" s="103"/>
      <c r="P148" s="91">
        <v>0</v>
      </c>
      <c r="Q148" s="103"/>
      <c r="R148" s="91">
        <v>0</v>
      </c>
      <c r="S148" s="103"/>
      <c r="T148" s="91">
        <v>0</v>
      </c>
      <c r="U148" s="103"/>
      <c r="V148" s="91">
        <v>0</v>
      </c>
      <c r="W148" s="103"/>
      <c r="X148" s="91"/>
      <c r="Y148" s="91"/>
      <c r="Z148" s="91">
        <f t="shared" si="11"/>
        <v>-42364.74</v>
      </c>
      <c r="AA148" s="92">
        <v>-42364.74</v>
      </c>
      <c r="AB148" s="92">
        <f t="shared" si="9"/>
        <v>0</v>
      </c>
    </row>
    <row r="149" spans="1:28" hidden="1" x14ac:dyDescent="0.2">
      <c r="A149" s="95">
        <v>37986</v>
      </c>
      <c r="B149" s="91">
        <v>-13676</v>
      </c>
      <c r="C149" s="91">
        <v>0</v>
      </c>
      <c r="D149" s="90"/>
      <c r="E149" s="90"/>
      <c r="F149" s="90"/>
      <c r="G149" s="90">
        <f t="shared" si="12"/>
        <v>-13676</v>
      </c>
      <c r="H149" s="91">
        <v>57669.17</v>
      </c>
      <c r="I149" s="91"/>
      <c r="J149" s="91">
        <v>-3282.24</v>
      </c>
      <c r="K149" s="90">
        <f t="shared" si="13"/>
        <v>-3282.24</v>
      </c>
      <c r="L149" s="103"/>
      <c r="M149" s="103"/>
      <c r="N149" s="103"/>
      <c r="O149" s="103"/>
      <c r="P149" s="91">
        <v>0</v>
      </c>
      <c r="Q149" s="103"/>
      <c r="R149" s="91">
        <v>0</v>
      </c>
      <c r="S149" s="103"/>
      <c r="T149" s="91">
        <v>0</v>
      </c>
      <c r="U149" s="103"/>
      <c r="V149" s="91">
        <v>0</v>
      </c>
      <c r="W149" s="103"/>
      <c r="X149" s="91"/>
      <c r="Y149" s="91"/>
      <c r="Z149" s="91">
        <f t="shared" si="11"/>
        <v>-68062.929999999993</v>
      </c>
      <c r="AA149" s="92">
        <v>-68062.929999999993</v>
      </c>
      <c r="AB149" s="92">
        <f t="shared" si="9"/>
        <v>0</v>
      </c>
    </row>
    <row r="150" spans="1:28" hidden="1" x14ac:dyDescent="0.2">
      <c r="A150" s="95">
        <v>38077</v>
      </c>
      <c r="B150" s="91">
        <v>0</v>
      </c>
      <c r="C150" s="91">
        <v>0</v>
      </c>
      <c r="D150" s="90"/>
      <c r="E150" s="90"/>
      <c r="F150" s="90"/>
      <c r="G150" s="90">
        <f t="shared" si="12"/>
        <v>0</v>
      </c>
      <c r="H150" s="91">
        <v>-6674.95</v>
      </c>
      <c r="I150" s="91"/>
      <c r="J150" s="91">
        <v>0</v>
      </c>
      <c r="K150" s="90">
        <f t="shared" si="13"/>
        <v>0</v>
      </c>
      <c r="L150" s="103"/>
      <c r="M150" s="103"/>
      <c r="N150" s="103"/>
      <c r="O150" s="103"/>
      <c r="P150" s="91">
        <v>0</v>
      </c>
      <c r="Q150" s="103"/>
      <c r="R150" s="91">
        <v>-108</v>
      </c>
      <c r="S150" s="103"/>
      <c r="T150" s="91">
        <v>151.13999999999999</v>
      </c>
      <c r="U150" s="103"/>
      <c r="V150" s="91">
        <v>0</v>
      </c>
      <c r="W150" s="103"/>
      <c r="X150" s="91"/>
      <c r="Y150" s="91"/>
      <c r="Z150" s="91">
        <f t="shared" si="11"/>
        <v>6631.8099999999995</v>
      </c>
      <c r="AA150" s="92">
        <v>6631.81</v>
      </c>
      <c r="AB150" s="92">
        <f t="shared" si="9"/>
        <v>0</v>
      </c>
    </row>
    <row r="151" spans="1:28" hidden="1" x14ac:dyDescent="0.2">
      <c r="A151" s="95">
        <v>38168</v>
      </c>
      <c r="B151" s="91">
        <v>0</v>
      </c>
      <c r="C151" s="91">
        <v>-75</v>
      </c>
      <c r="D151" s="90"/>
      <c r="E151" s="90"/>
      <c r="F151" s="90"/>
      <c r="G151" s="90">
        <f t="shared" si="12"/>
        <v>75</v>
      </c>
      <c r="H151" s="91">
        <v>55223.1</v>
      </c>
      <c r="I151" s="91"/>
      <c r="J151" s="91">
        <v>-30.48</v>
      </c>
      <c r="K151" s="90">
        <f t="shared" si="13"/>
        <v>-30.48</v>
      </c>
      <c r="L151" s="103"/>
      <c r="M151" s="103"/>
      <c r="N151" s="103"/>
      <c r="O151" s="103"/>
      <c r="P151" s="91">
        <v>0</v>
      </c>
      <c r="Q151" s="103"/>
      <c r="R151" s="91">
        <v>4.2300000000000004</v>
      </c>
      <c r="S151" s="103"/>
      <c r="T151" s="91">
        <v>16.5</v>
      </c>
      <c r="U151" s="103"/>
      <c r="V151" s="91">
        <v>0</v>
      </c>
      <c r="W151" s="103"/>
      <c r="X151" s="91"/>
      <c r="Y151" s="91"/>
      <c r="Z151" s="91">
        <f t="shared" si="11"/>
        <v>-55138.35</v>
      </c>
      <c r="AA151" s="92">
        <v>-55138.35</v>
      </c>
      <c r="AB151" s="92">
        <f t="shared" si="9"/>
        <v>0</v>
      </c>
    </row>
    <row r="152" spans="1:28" hidden="1" x14ac:dyDescent="0.2">
      <c r="A152" s="95">
        <v>38260</v>
      </c>
      <c r="B152" s="91">
        <v>0</v>
      </c>
      <c r="C152" s="91">
        <v>-225</v>
      </c>
      <c r="D152" s="90"/>
      <c r="E152" s="90"/>
      <c r="F152" s="90"/>
      <c r="G152" s="90">
        <f t="shared" si="12"/>
        <v>225</v>
      </c>
      <c r="H152" s="91">
        <v>51184.32</v>
      </c>
      <c r="I152" s="91"/>
      <c r="J152" s="91">
        <v>0</v>
      </c>
      <c r="K152" s="90">
        <f t="shared" si="13"/>
        <v>0</v>
      </c>
      <c r="L152" s="103"/>
      <c r="M152" s="103"/>
      <c r="N152" s="103"/>
      <c r="O152" s="103"/>
      <c r="P152" s="91">
        <v>0</v>
      </c>
      <c r="Q152" s="103"/>
      <c r="R152" s="91">
        <v>12.69</v>
      </c>
      <c r="S152" s="103"/>
      <c r="T152" s="91">
        <v>109.5</v>
      </c>
      <c r="U152" s="103"/>
      <c r="V152" s="91">
        <v>0</v>
      </c>
      <c r="W152" s="103"/>
      <c r="X152" s="91"/>
      <c r="Y152" s="91"/>
      <c r="Z152" s="91">
        <f t="shared" si="11"/>
        <v>-51081.51</v>
      </c>
      <c r="AA152" s="92">
        <v>-51081.51</v>
      </c>
      <c r="AB152" s="92">
        <f t="shared" si="9"/>
        <v>0</v>
      </c>
    </row>
    <row r="153" spans="1:28" hidden="1" x14ac:dyDescent="0.2">
      <c r="A153" s="95">
        <v>38352</v>
      </c>
      <c r="B153" s="91">
        <v>445</v>
      </c>
      <c r="C153" s="91">
        <v>-225</v>
      </c>
      <c r="D153" s="90"/>
      <c r="E153" s="90"/>
      <c r="F153" s="90"/>
      <c r="G153" s="90">
        <f t="shared" si="12"/>
        <v>670</v>
      </c>
      <c r="H153" s="91">
        <v>-69626.55</v>
      </c>
      <c r="I153" s="91"/>
      <c r="J153" s="91">
        <v>106.8</v>
      </c>
      <c r="K153" s="90">
        <f t="shared" si="13"/>
        <v>106.8</v>
      </c>
      <c r="L153" s="103"/>
      <c r="M153" s="103"/>
      <c r="N153" s="103"/>
      <c r="O153" s="103"/>
      <c r="P153" s="91">
        <v>0</v>
      </c>
      <c r="Q153" s="103"/>
      <c r="R153" s="91">
        <v>34.69</v>
      </c>
      <c r="S153" s="103"/>
      <c r="T153" s="91">
        <v>4072.81</v>
      </c>
      <c r="U153" s="103"/>
      <c r="V153" s="91">
        <v>0</v>
      </c>
      <c r="W153" s="103"/>
      <c r="X153" s="91"/>
      <c r="Y153" s="91"/>
      <c r="Z153" s="91">
        <f t="shared" si="11"/>
        <v>66082.25</v>
      </c>
      <c r="AA153" s="92">
        <v>66082.25</v>
      </c>
      <c r="AB153" s="92">
        <f t="shared" si="9"/>
        <v>0</v>
      </c>
    </row>
    <row r="154" spans="1:28" hidden="1" x14ac:dyDescent="0.2">
      <c r="A154" s="95">
        <v>38442</v>
      </c>
      <c r="B154" s="91">
        <v>-9</v>
      </c>
      <c r="C154" s="91">
        <v>-75</v>
      </c>
      <c r="D154" s="90"/>
      <c r="E154" s="90"/>
      <c r="F154" s="90"/>
      <c r="G154" s="90">
        <f t="shared" si="12"/>
        <v>66</v>
      </c>
      <c r="H154" s="91">
        <v>33395.120000000003</v>
      </c>
      <c r="I154" s="91"/>
      <c r="J154" s="91">
        <v>-2.16</v>
      </c>
      <c r="K154" s="90">
        <f t="shared" si="13"/>
        <v>-2.16</v>
      </c>
      <c r="L154" s="103"/>
      <c r="M154" s="103"/>
      <c r="N154" s="103"/>
      <c r="O154" s="103"/>
      <c r="P154" s="91">
        <v>0</v>
      </c>
      <c r="Q154" s="103"/>
      <c r="R154" s="91">
        <v>3.23</v>
      </c>
      <c r="S154" s="103"/>
      <c r="T154" s="91">
        <v>5337.73</v>
      </c>
      <c r="U154" s="103"/>
      <c r="V154" s="91">
        <v>0</v>
      </c>
      <c r="W154" s="103"/>
      <c r="X154" s="91"/>
      <c r="Y154" s="91"/>
      <c r="Z154" s="91">
        <f t="shared" si="11"/>
        <v>-38667.919999999998</v>
      </c>
      <c r="AA154" s="92">
        <v>-38667.919999999998</v>
      </c>
      <c r="AB154" s="92">
        <f t="shared" si="9"/>
        <v>0</v>
      </c>
    </row>
    <row r="155" spans="1:28" hidden="1" x14ac:dyDescent="0.2">
      <c r="A155" s="95">
        <v>38533</v>
      </c>
      <c r="B155" s="91">
        <v>217</v>
      </c>
      <c r="C155" s="91">
        <v>-150</v>
      </c>
      <c r="D155" s="90"/>
      <c r="E155" s="90"/>
      <c r="F155" s="90"/>
      <c r="G155" s="90">
        <f t="shared" si="12"/>
        <v>367</v>
      </c>
      <c r="H155" s="91">
        <v>38193.22</v>
      </c>
      <c r="I155" s="91"/>
      <c r="J155" s="91">
        <v>52.08</v>
      </c>
      <c r="K155" s="90">
        <f t="shared" si="13"/>
        <v>52.08</v>
      </c>
      <c r="L155" s="103"/>
      <c r="M155" s="103"/>
      <c r="N155" s="103"/>
      <c r="O155" s="103"/>
      <c r="P155" s="91">
        <v>0</v>
      </c>
      <c r="Q155" s="103"/>
      <c r="R155" s="91">
        <v>625.13</v>
      </c>
      <c r="S155" s="103"/>
      <c r="T155" s="91">
        <v>33</v>
      </c>
      <c r="U155" s="103"/>
      <c r="V155" s="91">
        <v>0</v>
      </c>
      <c r="W155" s="103"/>
      <c r="X155" s="91"/>
      <c r="Y155" s="91"/>
      <c r="Z155" s="91">
        <f t="shared" si="11"/>
        <v>-38536.43</v>
      </c>
      <c r="AA155" s="92">
        <v>-38536.43</v>
      </c>
      <c r="AB155" s="92">
        <f t="shared" si="9"/>
        <v>0</v>
      </c>
    </row>
    <row r="156" spans="1:28" hidden="1" x14ac:dyDescent="0.2">
      <c r="A156" s="95">
        <v>38625</v>
      </c>
      <c r="B156" s="91">
        <v>0</v>
      </c>
      <c r="C156" s="91">
        <v>-1165</v>
      </c>
      <c r="D156" s="90"/>
      <c r="E156" s="90"/>
      <c r="F156" s="90"/>
      <c r="G156" s="90">
        <f t="shared" si="12"/>
        <v>1165</v>
      </c>
      <c r="H156" s="91">
        <v>61097.23</v>
      </c>
      <c r="I156" s="91"/>
      <c r="J156" s="91">
        <v>0</v>
      </c>
      <c r="K156" s="90">
        <f t="shared" si="13"/>
        <v>0</v>
      </c>
      <c r="L156" s="103"/>
      <c r="M156" s="103"/>
      <c r="N156" s="103"/>
      <c r="O156" s="103"/>
      <c r="P156" s="91">
        <v>0</v>
      </c>
      <c r="Q156" s="103"/>
      <c r="R156" s="91">
        <v>13.5</v>
      </c>
      <c r="S156" s="103"/>
      <c r="T156" s="91">
        <v>18287.63</v>
      </c>
      <c r="U156" s="103"/>
      <c r="V156" s="91">
        <v>0</v>
      </c>
      <c r="W156" s="103"/>
      <c r="X156" s="91"/>
      <c r="Y156" s="91"/>
      <c r="Z156" s="91">
        <f t="shared" si="11"/>
        <v>-78233.36</v>
      </c>
      <c r="AA156" s="92">
        <v>-78233.36</v>
      </c>
      <c r="AB156" s="92">
        <f t="shared" si="9"/>
        <v>0</v>
      </c>
    </row>
    <row r="157" spans="1:28" hidden="1" x14ac:dyDescent="0.2">
      <c r="A157" s="95">
        <v>38717</v>
      </c>
      <c r="B157" s="91">
        <v>0</v>
      </c>
      <c r="C157" s="91">
        <v>-339.64</v>
      </c>
      <c r="D157" s="90"/>
      <c r="E157" s="90"/>
      <c r="F157" s="90"/>
      <c r="G157" s="90">
        <f t="shared" si="12"/>
        <v>339.64</v>
      </c>
      <c r="H157" s="91">
        <v>26067.63</v>
      </c>
      <c r="I157" s="91"/>
      <c r="J157" s="91">
        <v>0</v>
      </c>
      <c r="K157" s="90">
        <f t="shared" si="13"/>
        <v>0</v>
      </c>
      <c r="L157" s="103"/>
      <c r="M157" s="103"/>
      <c r="N157" s="103"/>
      <c r="O157" s="103"/>
      <c r="P157" s="91">
        <v>0</v>
      </c>
      <c r="Q157" s="103"/>
      <c r="R157" s="91">
        <v>8.4600000000000009</v>
      </c>
      <c r="S157" s="103"/>
      <c r="T157" s="91">
        <v>6672.04</v>
      </c>
      <c r="U157" s="103"/>
      <c r="V157" s="91">
        <v>0</v>
      </c>
      <c r="W157" s="103"/>
      <c r="X157" s="91"/>
      <c r="Y157" s="91"/>
      <c r="Z157" s="91">
        <f t="shared" si="11"/>
        <v>-32408.49</v>
      </c>
      <c r="AA157" s="92">
        <v>-32408.49</v>
      </c>
      <c r="AB157" s="92">
        <f t="shared" si="9"/>
        <v>0</v>
      </c>
    </row>
    <row r="158" spans="1:28" hidden="1" x14ac:dyDescent="0.2">
      <c r="A158" s="95">
        <v>38807</v>
      </c>
      <c r="B158" s="91">
        <v>0</v>
      </c>
      <c r="C158" s="91">
        <v>-65581</v>
      </c>
      <c r="D158" s="90"/>
      <c r="E158" s="90"/>
      <c r="F158" s="90"/>
      <c r="G158" s="90">
        <f t="shared" si="12"/>
        <v>65581</v>
      </c>
      <c r="H158" s="91">
        <v>32218.83</v>
      </c>
      <c r="I158" s="91"/>
      <c r="J158" s="91">
        <v>0</v>
      </c>
      <c r="K158" s="90">
        <f t="shared" si="13"/>
        <v>0</v>
      </c>
      <c r="L158" s="103"/>
      <c r="M158" s="103">
        <v>0</v>
      </c>
      <c r="N158" s="103"/>
      <c r="O158" s="103"/>
      <c r="P158" s="91">
        <v>0</v>
      </c>
      <c r="Q158" s="103"/>
      <c r="R158" s="91">
        <v>2697.67</v>
      </c>
      <c r="S158" s="103"/>
      <c r="T158" s="91">
        <v>33</v>
      </c>
      <c r="U158" s="103"/>
      <c r="V158" s="91">
        <v>0</v>
      </c>
      <c r="W158" s="103"/>
      <c r="X158" s="91"/>
      <c r="Y158" s="91"/>
      <c r="Z158" s="91">
        <f t="shared" ref="Z158:Z173" si="14">G158-H158-J158-P158-R158-T158+V158</f>
        <v>30631.5</v>
      </c>
      <c r="AA158" s="92">
        <v>30631.5</v>
      </c>
      <c r="AB158" s="92">
        <f t="shared" si="9"/>
        <v>0</v>
      </c>
    </row>
    <row r="159" spans="1:28" hidden="1" x14ac:dyDescent="0.2">
      <c r="A159" s="95">
        <v>38898</v>
      </c>
      <c r="B159" s="91">
        <v>0</v>
      </c>
      <c r="C159" s="91">
        <v>-75</v>
      </c>
      <c r="D159" s="90"/>
      <c r="E159" s="90"/>
      <c r="F159" s="90"/>
      <c r="G159" s="90">
        <f t="shared" si="12"/>
        <v>75</v>
      </c>
      <c r="H159" s="91">
        <v>25505.01</v>
      </c>
      <c r="I159" s="91"/>
      <c r="J159" s="91">
        <v>0</v>
      </c>
      <c r="K159" s="90">
        <v>0</v>
      </c>
      <c r="L159" s="103"/>
      <c r="M159" s="103">
        <v>0</v>
      </c>
      <c r="N159" s="103"/>
      <c r="O159" s="103"/>
      <c r="P159" s="91">
        <v>0</v>
      </c>
      <c r="Q159" s="103"/>
      <c r="R159" s="91">
        <v>4.2300000000000004</v>
      </c>
      <c r="S159" s="103"/>
      <c r="T159" s="91">
        <v>16.5</v>
      </c>
      <c r="U159" s="103"/>
      <c r="V159" s="91">
        <v>0</v>
      </c>
      <c r="W159" s="103"/>
      <c r="X159" s="91"/>
      <c r="Y159" s="91"/>
      <c r="Z159" s="91">
        <f t="shared" si="14"/>
        <v>-25450.739999999998</v>
      </c>
      <c r="AA159" s="92">
        <v>-25450.74</v>
      </c>
      <c r="AB159" s="92">
        <f t="shared" si="9"/>
        <v>0</v>
      </c>
    </row>
    <row r="160" spans="1:28" hidden="1" x14ac:dyDescent="0.2">
      <c r="A160" s="95">
        <v>38990</v>
      </c>
      <c r="B160" s="91">
        <v>-16</v>
      </c>
      <c r="C160" s="91">
        <v>-150</v>
      </c>
      <c r="D160" s="90"/>
      <c r="E160" s="90"/>
      <c r="F160" s="90"/>
      <c r="G160" s="90">
        <f t="shared" si="12"/>
        <v>134</v>
      </c>
      <c r="H160" s="91">
        <v>19203.759999999998</v>
      </c>
      <c r="I160" s="91"/>
      <c r="J160" s="91">
        <v>-3.84</v>
      </c>
      <c r="K160" s="90">
        <v>-3.84</v>
      </c>
      <c r="L160" s="103"/>
      <c r="M160" s="103">
        <v>0</v>
      </c>
      <c r="N160" s="103"/>
      <c r="O160" s="103"/>
      <c r="P160" s="91">
        <v>0</v>
      </c>
      <c r="Q160" s="103"/>
      <c r="R160" s="91">
        <v>6.46</v>
      </c>
      <c r="S160" s="103"/>
      <c r="T160" s="91">
        <v>34.5</v>
      </c>
      <c r="U160" s="103"/>
      <c r="V160" s="91">
        <v>0</v>
      </c>
      <c r="W160" s="103"/>
      <c r="X160" s="91"/>
      <c r="Y160" s="91"/>
      <c r="Z160" s="91">
        <f t="shared" si="14"/>
        <v>-19106.879999999997</v>
      </c>
      <c r="AA160" s="92">
        <v>-19106.88</v>
      </c>
      <c r="AB160" s="92">
        <f t="shared" si="9"/>
        <v>0</v>
      </c>
    </row>
    <row r="161" spans="1:28" hidden="1" x14ac:dyDescent="0.2">
      <c r="A161" s="95">
        <v>39082</v>
      </c>
      <c r="B161" s="91">
        <v>0</v>
      </c>
      <c r="C161" s="91">
        <v>-75</v>
      </c>
      <c r="D161" s="90"/>
      <c r="E161" s="90"/>
      <c r="F161" s="90"/>
      <c r="G161" s="90">
        <v>75</v>
      </c>
      <c r="H161" s="91">
        <v>20130.8</v>
      </c>
      <c r="I161" s="91"/>
      <c r="J161" s="91">
        <v>0</v>
      </c>
      <c r="K161" s="90">
        <v>0</v>
      </c>
      <c r="L161" s="103"/>
      <c r="M161" s="103">
        <v>0</v>
      </c>
      <c r="N161" s="103"/>
      <c r="O161" s="103"/>
      <c r="P161" s="91">
        <v>21.7</v>
      </c>
      <c r="Q161" s="103"/>
      <c r="R161" s="91">
        <v>55.28</v>
      </c>
      <c r="S161" s="103"/>
      <c r="T161" s="91">
        <v>16.5</v>
      </c>
      <c r="U161" s="103"/>
      <c r="V161" s="91">
        <v>0</v>
      </c>
      <c r="W161" s="103"/>
      <c r="X161" s="91"/>
      <c r="Y161" s="91"/>
      <c r="Z161" s="91">
        <f t="shared" si="14"/>
        <v>-20149.28</v>
      </c>
      <c r="AA161" s="92">
        <v>-20149.28</v>
      </c>
      <c r="AB161" s="92">
        <f t="shared" si="9"/>
        <v>0</v>
      </c>
    </row>
    <row r="162" spans="1:28" hidden="1" x14ac:dyDescent="0.2">
      <c r="A162" s="95">
        <v>39172</v>
      </c>
      <c r="B162" s="91">
        <v>0</v>
      </c>
      <c r="C162" s="91">
        <v>-144936.82</v>
      </c>
      <c r="D162" s="90">
        <v>0</v>
      </c>
      <c r="E162" s="90">
        <v>0</v>
      </c>
      <c r="F162" s="90">
        <v>0</v>
      </c>
      <c r="G162" s="90">
        <f t="shared" ref="G162:G173" si="15">B162-C162</f>
        <v>144936.82</v>
      </c>
      <c r="H162" s="91">
        <v>20369.2</v>
      </c>
      <c r="I162" s="91"/>
      <c r="J162" s="91">
        <v>0</v>
      </c>
      <c r="K162" s="90">
        <v>0</v>
      </c>
      <c r="L162" s="103"/>
      <c r="M162" s="103">
        <v>0</v>
      </c>
      <c r="N162" s="103"/>
      <c r="O162" s="103"/>
      <c r="P162" s="91">
        <v>0</v>
      </c>
      <c r="Q162" s="103"/>
      <c r="R162" s="91">
        <v>2.82</v>
      </c>
      <c r="S162" s="103"/>
      <c r="T162" s="91">
        <v>11</v>
      </c>
      <c r="U162" s="103"/>
      <c r="V162" s="91">
        <v>0</v>
      </c>
      <c r="W162" s="103"/>
      <c r="X162" s="91"/>
      <c r="Y162" s="91"/>
      <c r="Z162" s="91">
        <f t="shared" si="14"/>
        <v>124553.8</v>
      </c>
      <c r="AA162" s="92">
        <v>124553.8</v>
      </c>
      <c r="AB162" s="92">
        <f t="shared" si="9"/>
        <v>0</v>
      </c>
    </row>
    <row r="163" spans="1:28" hidden="1" x14ac:dyDescent="0.2">
      <c r="A163" s="95">
        <v>39263</v>
      </c>
      <c r="B163" s="91">
        <v>0</v>
      </c>
      <c r="C163" s="91">
        <v>-50</v>
      </c>
      <c r="D163" s="90"/>
      <c r="E163" s="90"/>
      <c r="F163" s="90"/>
      <c r="G163" s="90">
        <f t="shared" si="15"/>
        <v>50</v>
      </c>
      <c r="H163" s="91">
        <v>19788.099999999999</v>
      </c>
      <c r="I163" s="91"/>
      <c r="J163" s="91">
        <v>0</v>
      </c>
      <c r="K163" s="90">
        <v>0</v>
      </c>
      <c r="L163" s="103"/>
      <c r="M163" s="103">
        <v>0</v>
      </c>
      <c r="N163" s="103"/>
      <c r="O163" s="103"/>
      <c r="P163" s="91">
        <v>28.81</v>
      </c>
      <c r="Q163" s="103"/>
      <c r="R163" s="91">
        <v>2.82</v>
      </c>
      <c r="S163" s="103"/>
      <c r="T163" s="91">
        <v>11</v>
      </c>
      <c r="U163" s="103"/>
      <c r="V163" s="91">
        <v>0</v>
      </c>
      <c r="W163" s="103"/>
      <c r="X163" s="91"/>
      <c r="Y163" s="91"/>
      <c r="Z163" s="91">
        <f t="shared" si="14"/>
        <v>-19780.73</v>
      </c>
      <c r="AA163" s="92">
        <v>-19780.73</v>
      </c>
      <c r="AB163" s="92">
        <f t="shared" si="9"/>
        <v>0</v>
      </c>
    </row>
    <row r="164" spans="1:28" hidden="1" x14ac:dyDescent="0.2">
      <c r="A164" s="95">
        <v>39355</v>
      </c>
      <c r="B164" s="91">
        <v>7440</v>
      </c>
      <c r="C164" s="91">
        <v>0</v>
      </c>
      <c r="D164" s="90">
        <v>0</v>
      </c>
      <c r="E164" s="90">
        <f>B164-C164</f>
        <v>7440</v>
      </c>
      <c r="F164" s="90">
        <v>0</v>
      </c>
      <c r="G164" s="90">
        <f t="shared" si="15"/>
        <v>7440</v>
      </c>
      <c r="H164" s="91">
        <v>20138.46</v>
      </c>
      <c r="I164" s="91"/>
      <c r="J164" s="91">
        <v>0</v>
      </c>
      <c r="K164" s="90">
        <v>0</v>
      </c>
      <c r="L164" s="103"/>
      <c r="M164" s="103">
        <v>0</v>
      </c>
      <c r="N164" s="103"/>
      <c r="O164" s="103"/>
      <c r="P164" s="91">
        <v>7.35</v>
      </c>
      <c r="Q164" s="103"/>
      <c r="R164" s="91">
        <v>0</v>
      </c>
      <c r="S164" s="103"/>
      <c r="T164" s="91">
        <v>0</v>
      </c>
      <c r="U164" s="103"/>
      <c r="V164" s="91">
        <v>0</v>
      </c>
      <c r="W164" s="103"/>
      <c r="X164" s="91"/>
      <c r="Y164" s="91"/>
      <c r="Z164" s="91">
        <f t="shared" si="14"/>
        <v>-12705.81</v>
      </c>
      <c r="AA164" s="92">
        <v>-12705.81</v>
      </c>
      <c r="AB164" s="92">
        <f t="shared" si="9"/>
        <v>0</v>
      </c>
    </row>
    <row r="165" spans="1:28" hidden="1" x14ac:dyDescent="0.2">
      <c r="A165" s="95">
        <v>39447</v>
      </c>
      <c r="B165" s="91">
        <v>-7440</v>
      </c>
      <c r="C165" s="91">
        <v>-20636.560000000001</v>
      </c>
      <c r="D165" s="90">
        <v>0</v>
      </c>
      <c r="E165" s="90">
        <v>13196.56</v>
      </c>
      <c r="F165" s="90">
        <v>0</v>
      </c>
      <c r="G165" s="90">
        <f t="shared" si="15"/>
        <v>13196.560000000001</v>
      </c>
      <c r="H165" s="91">
        <v>19790.96</v>
      </c>
      <c r="I165" s="91"/>
      <c r="J165" s="91">
        <v>0</v>
      </c>
      <c r="K165" s="90">
        <v>0</v>
      </c>
      <c r="L165" s="103"/>
      <c r="M165" s="103">
        <v>0</v>
      </c>
      <c r="N165" s="103"/>
      <c r="O165" s="103"/>
      <c r="P165" s="91">
        <v>33.33</v>
      </c>
      <c r="Q165" s="103"/>
      <c r="R165" s="91">
        <v>5.64</v>
      </c>
      <c r="S165" s="103"/>
      <c r="T165" s="91">
        <v>24</v>
      </c>
      <c r="U165" s="103"/>
      <c r="V165" s="91">
        <v>0</v>
      </c>
      <c r="W165" s="103"/>
      <c r="X165" s="91"/>
      <c r="Y165" s="91"/>
      <c r="Z165" s="91">
        <f t="shared" si="14"/>
        <v>-6657.3699999999981</v>
      </c>
      <c r="AA165" s="92">
        <v>-6657.37</v>
      </c>
      <c r="AB165" s="92">
        <f t="shared" si="9"/>
        <v>0</v>
      </c>
    </row>
    <row r="166" spans="1:28" hidden="1" x14ac:dyDescent="0.2">
      <c r="A166" s="95">
        <v>39538</v>
      </c>
      <c r="B166" s="91">
        <v>0</v>
      </c>
      <c r="C166" s="91">
        <v>-20536.55</v>
      </c>
      <c r="D166" s="90">
        <v>0</v>
      </c>
      <c r="E166" s="90">
        <v>20536.55</v>
      </c>
      <c r="F166" s="90">
        <v>0</v>
      </c>
      <c r="G166" s="90">
        <f t="shared" si="15"/>
        <v>20536.55</v>
      </c>
      <c r="H166" s="91">
        <v>23369.46</v>
      </c>
      <c r="I166" s="91"/>
      <c r="J166" s="91">
        <v>0</v>
      </c>
      <c r="K166" s="90">
        <v>0</v>
      </c>
      <c r="L166" s="103"/>
      <c r="M166" s="103">
        <v>0</v>
      </c>
      <c r="N166" s="103"/>
      <c r="O166" s="103"/>
      <c r="P166" s="91">
        <v>43.9</v>
      </c>
      <c r="Q166" s="103"/>
      <c r="R166" s="91">
        <v>0</v>
      </c>
      <c r="S166" s="103"/>
      <c r="T166" s="91">
        <v>0</v>
      </c>
      <c r="U166" s="103"/>
      <c r="V166" s="91">
        <v>0</v>
      </c>
      <c r="W166" s="103"/>
      <c r="X166" s="91"/>
      <c r="Y166" s="91"/>
      <c r="Z166" s="91">
        <f t="shared" si="14"/>
        <v>-2876.81</v>
      </c>
      <c r="AA166" s="92">
        <v>-2876.81</v>
      </c>
      <c r="AB166" s="92">
        <f t="shared" si="9"/>
        <v>0</v>
      </c>
    </row>
    <row r="167" spans="1:28" hidden="1" x14ac:dyDescent="0.2">
      <c r="A167" s="95">
        <v>39629</v>
      </c>
      <c r="B167" s="91">
        <v>0</v>
      </c>
      <c r="C167" s="91">
        <v>0</v>
      </c>
      <c r="D167" s="90">
        <v>0</v>
      </c>
      <c r="E167" s="90">
        <v>0</v>
      </c>
      <c r="F167" s="90">
        <v>0</v>
      </c>
      <c r="G167" s="90">
        <f t="shared" si="15"/>
        <v>0</v>
      </c>
      <c r="H167" s="91">
        <v>17422.939999999999</v>
      </c>
      <c r="I167" s="91"/>
      <c r="J167" s="91">
        <v>0</v>
      </c>
      <c r="K167" s="90">
        <v>0</v>
      </c>
      <c r="L167" s="103"/>
      <c r="M167" s="103">
        <v>0</v>
      </c>
      <c r="N167" s="103"/>
      <c r="O167" s="103"/>
      <c r="P167" s="91">
        <v>24.6</v>
      </c>
      <c r="Q167" s="103"/>
      <c r="R167" s="91">
        <v>0</v>
      </c>
      <c r="S167" s="103"/>
      <c r="T167" s="91">
        <v>0</v>
      </c>
      <c r="U167" s="103"/>
      <c r="V167" s="91">
        <v>0</v>
      </c>
      <c r="W167" s="103"/>
      <c r="X167" s="91"/>
      <c r="Y167" s="91"/>
      <c r="Z167" s="91">
        <f t="shared" si="14"/>
        <v>-17447.539999999997</v>
      </c>
      <c r="AA167" s="92">
        <v>-17447.54</v>
      </c>
      <c r="AB167" s="92">
        <f t="shared" si="9"/>
        <v>0</v>
      </c>
    </row>
    <row r="168" spans="1:28" hidden="1" x14ac:dyDescent="0.2">
      <c r="A168" s="95">
        <v>39721</v>
      </c>
      <c r="B168" s="91">
        <v>0</v>
      </c>
      <c r="C168" s="91">
        <v>-6915.52</v>
      </c>
      <c r="D168" s="90">
        <v>0</v>
      </c>
      <c r="E168" s="90">
        <f t="shared" ref="E168:E173" si="16">B168-C168</f>
        <v>6915.52</v>
      </c>
      <c r="F168" s="90">
        <v>0</v>
      </c>
      <c r="G168" s="90">
        <f t="shared" si="15"/>
        <v>6915.52</v>
      </c>
      <c r="H168" s="91">
        <v>22941.27</v>
      </c>
      <c r="I168" s="91"/>
      <c r="J168" s="91">
        <v>0</v>
      </c>
      <c r="K168" s="90">
        <v>26.12</v>
      </c>
      <c r="L168" s="103"/>
      <c r="M168" s="103">
        <v>0</v>
      </c>
      <c r="N168" s="103"/>
      <c r="O168" s="103"/>
      <c r="P168" s="91">
        <v>26.12</v>
      </c>
      <c r="Q168" s="103"/>
      <c r="R168" s="91">
        <v>0</v>
      </c>
      <c r="S168" s="103"/>
      <c r="T168" s="91">
        <v>0</v>
      </c>
      <c r="U168" s="103"/>
      <c r="V168" s="91">
        <v>0</v>
      </c>
      <c r="W168" s="103"/>
      <c r="X168" s="91"/>
      <c r="Y168" s="91"/>
      <c r="Z168" s="91">
        <f t="shared" si="14"/>
        <v>-16051.87</v>
      </c>
      <c r="AA168" s="92">
        <v>-16051.87</v>
      </c>
      <c r="AB168" s="92">
        <f t="shared" si="9"/>
        <v>0</v>
      </c>
    </row>
    <row r="169" spans="1:28" hidden="1" x14ac:dyDescent="0.2">
      <c r="A169" s="95">
        <v>39813</v>
      </c>
      <c r="B169" s="91">
        <v>0</v>
      </c>
      <c r="C169" s="91">
        <v>-10268.280000000001</v>
      </c>
      <c r="D169" s="90"/>
      <c r="E169" s="90">
        <f t="shared" si="16"/>
        <v>10268.280000000001</v>
      </c>
      <c r="F169" s="90">
        <v>0</v>
      </c>
      <c r="G169" s="90">
        <f t="shared" si="15"/>
        <v>10268.280000000001</v>
      </c>
      <c r="H169" s="91">
        <v>46487.37</v>
      </c>
      <c r="I169" s="91"/>
      <c r="J169" s="91">
        <v>0</v>
      </c>
      <c r="K169" s="90">
        <v>0</v>
      </c>
      <c r="L169" s="103"/>
      <c r="M169" s="103">
        <v>0</v>
      </c>
      <c r="N169" s="103"/>
      <c r="O169" s="103"/>
      <c r="P169" s="91">
        <v>14.03</v>
      </c>
      <c r="Q169" s="103"/>
      <c r="R169" s="91">
        <v>0</v>
      </c>
      <c r="S169" s="103"/>
      <c r="T169" s="91">
        <v>0</v>
      </c>
      <c r="U169" s="103"/>
      <c r="V169" s="91">
        <v>0</v>
      </c>
      <c r="W169" s="103"/>
      <c r="X169" s="91"/>
      <c r="Y169" s="91"/>
      <c r="Z169" s="91">
        <f t="shared" si="14"/>
        <v>-36233.120000000003</v>
      </c>
      <c r="AA169" s="92">
        <v>-36233.120000000003</v>
      </c>
      <c r="AB169" s="92">
        <f t="shared" si="9"/>
        <v>0</v>
      </c>
    </row>
    <row r="170" spans="1:28" hidden="1" x14ac:dyDescent="0.2">
      <c r="A170" s="95">
        <v>39903</v>
      </c>
      <c r="B170" s="91">
        <v>0</v>
      </c>
      <c r="C170" s="91">
        <v>-10268.280000000001</v>
      </c>
      <c r="D170" s="90">
        <v>0</v>
      </c>
      <c r="E170" s="90">
        <f t="shared" si="16"/>
        <v>10268.280000000001</v>
      </c>
      <c r="F170" s="90">
        <v>0</v>
      </c>
      <c r="G170" s="90">
        <f t="shared" si="15"/>
        <v>10268.280000000001</v>
      </c>
      <c r="H170" s="91">
        <v>15305.95</v>
      </c>
      <c r="I170" s="91"/>
      <c r="J170" s="91">
        <v>0</v>
      </c>
      <c r="K170" s="90">
        <v>0</v>
      </c>
      <c r="L170" s="103"/>
      <c r="M170" s="103">
        <v>0</v>
      </c>
      <c r="N170" s="103"/>
      <c r="O170" s="103"/>
      <c r="P170" s="91">
        <v>8.92</v>
      </c>
      <c r="Q170" s="103"/>
      <c r="R170" s="91">
        <v>0</v>
      </c>
      <c r="S170" s="103"/>
      <c r="T170" s="91">
        <v>0</v>
      </c>
      <c r="U170" s="103"/>
      <c r="V170" s="91">
        <v>0</v>
      </c>
      <c r="W170" s="103"/>
      <c r="X170" s="91"/>
      <c r="Y170" s="91"/>
      <c r="Z170" s="91">
        <f t="shared" si="14"/>
        <v>-5046.59</v>
      </c>
      <c r="AA170" s="92">
        <v>-5046.59</v>
      </c>
      <c r="AB170" s="92">
        <f t="shared" si="9"/>
        <v>0</v>
      </c>
    </row>
    <row r="171" spans="1:28" hidden="1" x14ac:dyDescent="0.2">
      <c r="A171" s="95">
        <v>39994</v>
      </c>
      <c r="B171" s="91">
        <v>0</v>
      </c>
      <c r="C171" s="91">
        <v>-13691.04</v>
      </c>
      <c r="D171" s="90">
        <v>0</v>
      </c>
      <c r="E171" s="90">
        <f t="shared" si="16"/>
        <v>13691.04</v>
      </c>
      <c r="F171" s="90">
        <v>0</v>
      </c>
      <c r="G171" s="90">
        <f t="shared" si="15"/>
        <v>13691.04</v>
      </c>
      <c r="H171" s="91">
        <v>18054.59</v>
      </c>
      <c r="I171" s="91"/>
      <c r="J171" s="91">
        <v>0</v>
      </c>
      <c r="K171" s="90">
        <v>0</v>
      </c>
      <c r="L171" s="103"/>
      <c r="M171" s="103">
        <v>0</v>
      </c>
      <c r="N171" s="103"/>
      <c r="O171" s="103"/>
      <c r="P171" s="91">
        <v>2.5299999999999998</v>
      </c>
      <c r="Q171" s="103"/>
      <c r="R171" s="91">
        <v>0</v>
      </c>
      <c r="S171" s="103"/>
      <c r="T171" s="91">
        <v>0</v>
      </c>
      <c r="U171" s="103"/>
      <c r="V171" s="91">
        <v>0</v>
      </c>
      <c r="W171" s="103"/>
      <c r="X171" s="91"/>
      <c r="Y171" s="91"/>
      <c r="Z171" s="91">
        <f t="shared" si="14"/>
        <v>-4366.079999999999</v>
      </c>
      <c r="AA171" s="92">
        <v>-4366.08</v>
      </c>
      <c r="AB171" s="92">
        <f t="shared" si="9"/>
        <v>0</v>
      </c>
    </row>
    <row r="172" spans="1:28" hidden="1" x14ac:dyDescent="0.2">
      <c r="A172" s="95">
        <v>40086</v>
      </c>
      <c r="B172" s="91">
        <v>0</v>
      </c>
      <c r="C172" s="91">
        <v>-6845.52</v>
      </c>
      <c r="D172" s="90">
        <v>0</v>
      </c>
      <c r="E172" s="90">
        <f t="shared" si="16"/>
        <v>6845.52</v>
      </c>
      <c r="F172" s="90">
        <v>0</v>
      </c>
      <c r="G172" s="90">
        <f t="shared" si="15"/>
        <v>6845.52</v>
      </c>
      <c r="H172" s="91">
        <v>19926.259999999998</v>
      </c>
      <c r="I172" s="91"/>
      <c r="J172" s="91">
        <v>0</v>
      </c>
      <c r="K172" s="90">
        <v>0</v>
      </c>
      <c r="L172" s="103"/>
      <c r="M172" s="103">
        <v>0</v>
      </c>
      <c r="N172" s="103"/>
      <c r="O172" s="103"/>
      <c r="P172" s="91">
        <v>4.4400000000000004</v>
      </c>
      <c r="Q172" s="103"/>
      <c r="R172" s="91">
        <v>0</v>
      </c>
      <c r="S172" s="103"/>
      <c r="T172" s="91">
        <v>0</v>
      </c>
      <c r="U172" s="103"/>
      <c r="V172" s="91">
        <v>0</v>
      </c>
      <c r="W172" s="103"/>
      <c r="X172" s="91"/>
      <c r="Y172" s="91"/>
      <c r="Z172" s="91">
        <f t="shared" si="14"/>
        <v>-13085.179999999998</v>
      </c>
      <c r="AA172" s="92">
        <v>-13085.18</v>
      </c>
      <c r="AB172" s="92">
        <f t="shared" si="9"/>
        <v>0</v>
      </c>
    </row>
    <row r="173" spans="1:28" hidden="1" x14ac:dyDescent="0.2">
      <c r="A173" s="95">
        <v>40178</v>
      </c>
      <c r="B173" s="91">
        <v>0</v>
      </c>
      <c r="C173" s="91">
        <v>-13691.03</v>
      </c>
      <c r="D173" s="90">
        <v>0</v>
      </c>
      <c r="E173" s="90">
        <f t="shared" si="16"/>
        <v>13691.03</v>
      </c>
      <c r="F173" s="90">
        <v>0</v>
      </c>
      <c r="G173" s="90">
        <f t="shared" si="15"/>
        <v>13691.03</v>
      </c>
      <c r="H173" s="91">
        <v>19035.12</v>
      </c>
      <c r="I173" s="91"/>
      <c r="J173" s="91">
        <v>0</v>
      </c>
      <c r="K173" s="90">
        <v>0</v>
      </c>
      <c r="L173" s="103"/>
      <c r="M173" s="103">
        <v>0</v>
      </c>
      <c r="N173" s="103"/>
      <c r="O173" s="103"/>
      <c r="P173" s="91">
        <v>3.08</v>
      </c>
      <c r="Q173" s="103"/>
      <c r="R173" s="91">
        <v>15</v>
      </c>
      <c r="S173" s="103"/>
      <c r="T173" s="91">
        <v>0</v>
      </c>
      <c r="U173" s="103"/>
      <c r="V173" s="91">
        <v>0</v>
      </c>
      <c r="W173" s="103"/>
      <c r="X173" s="91"/>
      <c r="Y173" s="91"/>
      <c r="Z173" s="91">
        <f t="shared" si="14"/>
        <v>-5362.1699999999983</v>
      </c>
      <c r="AA173" s="92">
        <v>-5362.17</v>
      </c>
      <c r="AB173" s="92">
        <f t="shared" si="9"/>
        <v>0</v>
      </c>
    </row>
    <row r="174" spans="1:28" hidden="1" x14ac:dyDescent="0.2">
      <c r="A174" s="140">
        <v>40268</v>
      </c>
      <c r="B174" s="91" t="s">
        <v>224</v>
      </c>
      <c r="C174" s="91"/>
      <c r="D174" s="90"/>
      <c r="E174" s="90"/>
      <c r="F174" s="90"/>
      <c r="G174" s="90"/>
      <c r="H174" s="91"/>
      <c r="I174" s="91"/>
      <c r="J174" s="91"/>
      <c r="K174" s="90"/>
      <c r="L174" s="103"/>
      <c r="M174" s="103"/>
      <c r="N174" s="103"/>
      <c r="O174" s="103"/>
      <c r="P174" s="91"/>
      <c r="Q174" s="103"/>
      <c r="R174" s="91"/>
      <c r="S174" s="103"/>
      <c r="T174" s="91"/>
      <c r="U174" s="103"/>
      <c r="V174" s="91"/>
      <c r="W174" s="103"/>
      <c r="X174" s="91"/>
      <c r="Y174" s="91"/>
      <c r="Z174" s="91"/>
      <c r="AA174" s="92"/>
      <c r="AB174" s="92"/>
    </row>
    <row r="175" spans="1:28" hidden="1" x14ac:dyDescent="0.2">
      <c r="A175" s="95">
        <v>40359</v>
      </c>
      <c r="B175" s="91"/>
      <c r="C175" s="91"/>
      <c r="D175" s="90"/>
      <c r="E175" s="90"/>
      <c r="F175" s="90"/>
      <c r="G175" s="90"/>
      <c r="H175" s="91"/>
      <c r="I175" s="91"/>
      <c r="J175" s="91"/>
      <c r="K175" s="90"/>
      <c r="L175" s="103"/>
      <c r="M175" s="103"/>
      <c r="N175" s="103"/>
      <c r="O175" s="103"/>
      <c r="P175" s="91"/>
      <c r="Q175" s="103"/>
      <c r="R175" s="91"/>
      <c r="S175" s="103"/>
      <c r="T175" s="91"/>
      <c r="U175" s="103"/>
      <c r="V175" s="91"/>
      <c r="W175" s="103"/>
      <c r="X175" s="91"/>
      <c r="Y175" s="91"/>
      <c r="Z175" s="91"/>
      <c r="AA175" s="92"/>
      <c r="AB175" s="92"/>
    </row>
    <row r="176" spans="1:28" hidden="1" x14ac:dyDescent="0.2">
      <c r="A176" s="95"/>
      <c r="B176" s="96">
        <f>SUM(B126:B173)</f>
        <v>23684209.630000006</v>
      </c>
      <c r="C176" s="96">
        <f>SUM(C126:C173)</f>
        <v>147659.38</v>
      </c>
      <c r="D176" s="96">
        <v>0</v>
      </c>
      <c r="E176" s="96">
        <f>SUM(E126:E173)</f>
        <v>102852.78000000001</v>
      </c>
      <c r="F176" s="96">
        <f>SUM(F126:F173)</f>
        <v>0</v>
      </c>
      <c r="G176" s="96">
        <f>SUM(G126:G173)</f>
        <v>23536550.25</v>
      </c>
      <c r="H176" s="96">
        <f>SUM(H126:H173)</f>
        <v>9820335.0199999996</v>
      </c>
      <c r="I176" s="96">
        <f>SUM(I126:I161)</f>
        <v>0</v>
      </c>
      <c r="J176" s="96">
        <f>SUM(J126:J173)</f>
        <v>5202538.0799999973</v>
      </c>
      <c r="K176" s="96">
        <f>SUM(K126:K173)</f>
        <v>5202564.1999999974</v>
      </c>
      <c r="L176" s="97">
        <f>K176/G176</f>
        <v>0.22104191755968985</v>
      </c>
      <c r="M176" s="96">
        <f>SUM(M126:M173)</f>
        <v>0</v>
      </c>
      <c r="N176" s="96">
        <f>SUM(N126:N167)</f>
        <v>0</v>
      </c>
      <c r="O176" s="96"/>
      <c r="P176" s="96">
        <f>SUM(P126:P173)</f>
        <v>703950.80999999994</v>
      </c>
      <c r="Q176" s="96">
        <f>SUM(Q126:Q161)</f>
        <v>0</v>
      </c>
      <c r="R176" s="96">
        <f>SUM(R126:R173)</f>
        <v>1163104.199999999</v>
      </c>
      <c r="S176" s="96">
        <f>SUM(S126:S161)</f>
        <v>0</v>
      </c>
      <c r="T176" s="96">
        <f>SUM(T126:T173)</f>
        <v>110694.98999999999</v>
      </c>
      <c r="U176" s="96">
        <f>SUM(U126:U161)</f>
        <v>0</v>
      </c>
      <c r="V176" s="96">
        <f>SUM(V126:V173)</f>
        <v>28084.44</v>
      </c>
      <c r="W176" s="96">
        <f>SUM(W126:W161)</f>
        <v>0</v>
      </c>
      <c r="X176" s="96">
        <f>SUM(X126:X161)</f>
        <v>0</v>
      </c>
      <c r="Y176" s="96">
        <f>SUM(Y126:Y161)</f>
        <v>0</v>
      </c>
      <c r="Z176" s="96">
        <f>SUM(Z126:Z173)</f>
        <v>6564011.5900000036</v>
      </c>
      <c r="AA176" s="92"/>
      <c r="AB176" s="92"/>
    </row>
    <row r="177" spans="1:28" hidden="1" x14ac:dyDescent="0.2">
      <c r="A177" s="98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100"/>
      <c r="M177" s="100"/>
      <c r="N177" s="100"/>
      <c r="O177" s="100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101">
        <f>ROUND(G176-H176-J176-P176-R176-T176+V176,2)</f>
        <v>6564011.5899999999</v>
      </c>
      <c r="AA177" s="92"/>
      <c r="AB177" s="92"/>
    </row>
    <row r="178" spans="1:28" hidden="1" x14ac:dyDescent="0.2">
      <c r="A178" s="82" t="s">
        <v>124</v>
      </c>
      <c r="Z178" s="102" t="str">
        <f>IF(Z177=Z176,"Check","NO")</f>
        <v>Check</v>
      </c>
      <c r="AA178" s="92"/>
      <c r="AB178" s="92"/>
    </row>
    <row r="179" spans="1:28" ht="38.25" hidden="1" x14ac:dyDescent="0.2">
      <c r="A179" s="86" t="s">
        <v>143</v>
      </c>
      <c r="B179" s="87" t="s">
        <v>144</v>
      </c>
      <c r="C179" s="87" t="s">
        <v>145</v>
      </c>
      <c r="D179" s="87" t="s">
        <v>170</v>
      </c>
      <c r="E179" s="87" t="s">
        <v>171</v>
      </c>
      <c r="F179" s="87" t="s">
        <v>172</v>
      </c>
      <c r="G179" s="87" t="s">
        <v>146</v>
      </c>
      <c r="H179" s="87" t="s">
        <v>147</v>
      </c>
      <c r="I179" s="87" t="s">
        <v>148</v>
      </c>
      <c r="J179" s="87" t="s">
        <v>169</v>
      </c>
      <c r="K179" s="87" t="s">
        <v>136</v>
      </c>
      <c r="L179" s="87" t="s">
        <v>149</v>
      </c>
      <c r="M179" s="87" t="s">
        <v>163</v>
      </c>
      <c r="N179" s="87" t="s">
        <v>164</v>
      </c>
      <c r="O179" s="87" t="s">
        <v>207</v>
      </c>
      <c r="P179" s="87" t="s">
        <v>150</v>
      </c>
      <c r="Q179" s="87" t="s">
        <v>151</v>
      </c>
      <c r="R179" s="87" t="s">
        <v>152</v>
      </c>
      <c r="S179" s="87" t="s">
        <v>153</v>
      </c>
      <c r="T179" s="87" t="s">
        <v>154</v>
      </c>
      <c r="U179" s="87" t="s">
        <v>155</v>
      </c>
      <c r="V179" s="87" t="s">
        <v>156</v>
      </c>
      <c r="W179" s="87" t="s">
        <v>157</v>
      </c>
      <c r="X179" s="87"/>
      <c r="Y179" s="87"/>
      <c r="Z179" s="87" t="s">
        <v>158</v>
      </c>
      <c r="AA179" s="87" t="s">
        <v>173</v>
      </c>
      <c r="AB179" s="87" t="s">
        <v>175</v>
      </c>
    </row>
    <row r="180" spans="1:28" hidden="1" x14ac:dyDescent="0.2">
      <c r="A180" s="88">
        <v>36250</v>
      </c>
      <c r="B180" s="89">
        <v>3127895.27</v>
      </c>
      <c r="C180" s="89">
        <v>0</v>
      </c>
      <c r="D180" s="89"/>
      <c r="E180" s="89"/>
      <c r="F180" s="89"/>
      <c r="G180" s="90">
        <f>B180-C180</f>
        <v>3127895.27</v>
      </c>
      <c r="H180" s="91">
        <v>2757.49</v>
      </c>
      <c r="I180" s="91"/>
      <c r="J180" s="91">
        <v>692177.69</v>
      </c>
      <c r="K180" s="90">
        <f>J180-M180</f>
        <v>692177.69</v>
      </c>
      <c r="L180" s="103"/>
      <c r="M180" s="103"/>
      <c r="N180" s="103"/>
      <c r="O180" s="103"/>
      <c r="P180" s="91">
        <v>47198.29</v>
      </c>
      <c r="Q180" s="103"/>
      <c r="R180" s="91">
        <v>185780.45</v>
      </c>
      <c r="S180" s="103"/>
      <c r="T180" s="91">
        <v>0</v>
      </c>
      <c r="U180" s="103"/>
      <c r="V180" s="91">
        <v>123073.53</v>
      </c>
      <c r="W180" s="103"/>
      <c r="X180" s="89"/>
      <c r="Y180" s="89"/>
      <c r="Z180" s="91">
        <f t="shared" ref="Z180:Z207" si="17">G180-H180-J180-P180-R180-T180+V180</f>
        <v>2323054.8799999994</v>
      </c>
      <c r="AA180" s="92">
        <v>2323054.88</v>
      </c>
      <c r="AB180" s="92">
        <f t="shared" si="9"/>
        <v>0</v>
      </c>
    </row>
    <row r="181" spans="1:28" hidden="1" x14ac:dyDescent="0.2">
      <c r="A181" s="93">
        <v>36341</v>
      </c>
      <c r="B181" s="94">
        <v>3832694.86</v>
      </c>
      <c r="C181" s="94">
        <v>0</v>
      </c>
      <c r="D181" s="89"/>
      <c r="E181" s="89"/>
      <c r="F181" s="89"/>
      <c r="G181" s="90">
        <f t="shared" ref="G181:G223" si="18">B181-C181</f>
        <v>3832694.86</v>
      </c>
      <c r="H181" s="91">
        <v>52807.26</v>
      </c>
      <c r="I181" s="91"/>
      <c r="J181" s="91">
        <v>830562.51</v>
      </c>
      <c r="K181" s="90">
        <f t="shared" ref="K181:K208" si="19">J181-M181</f>
        <v>830562.51</v>
      </c>
      <c r="L181" s="103"/>
      <c r="M181" s="103"/>
      <c r="N181" s="103"/>
      <c r="O181" s="103"/>
      <c r="P181" s="91">
        <v>38890.559999999998</v>
      </c>
      <c r="Q181" s="103"/>
      <c r="R181" s="91">
        <v>235734.69</v>
      </c>
      <c r="S181" s="103"/>
      <c r="T181" s="91">
        <v>13.31</v>
      </c>
      <c r="U181" s="103"/>
      <c r="V181" s="91">
        <v>0</v>
      </c>
      <c r="W181" s="103"/>
      <c r="X181" s="94"/>
      <c r="Y181" s="94"/>
      <c r="Z181" s="91">
        <f t="shared" si="17"/>
        <v>2674686.5299999998</v>
      </c>
      <c r="AA181" s="92">
        <v>2674686.5299999998</v>
      </c>
      <c r="AB181" s="92">
        <f t="shared" si="9"/>
        <v>0</v>
      </c>
    </row>
    <row r="182" spans="1:28" hidden="1" x14ac:dyDescent="0.2">
      <c r="A182" s="93">
        <v>36433</v>
      </c>
      <c r="B182" s="94">
        <v>3671554.86</v>
      </c>
      <c r="C182" s="94">
        <v>0</v>
      </c>
      <c r="D182" s="89"/>
      <c r="E182" s="89"/>
      <c r="F182" s="89"/>
      <c r="G182" s="90">
        <f t="shared" si="18"/>
        <v>3671554.86</v>
      </c>
      <c r="H182" s="91">
        <v>169214.5</v>
      </c>
      <c r="I182" s="91"/>
      <c r="J182" s="91">
        <v>796037.56</v>
      </c>
      <c r="K182" s="90">
        <f t="shared" si="19"/>
        <v>796037.56</v>
      </c>
      <c r="L182" s="103"/>
      <c r="M182" s="103"/>
      <c r="N182" s="103"/>
      <c r="O182" s="103"/>
      <c r="P182" s="91">
        <v>71183.95</v>
      </c>
      <c r="Q182" s="103"/>
      <c r="R182" s="91">
        <v>189252.99</v>
      </c>
      <c r="S182" s="103"/>
      <c r="T182" s="91">
        <v>37.35</v>
      </c>
      <c r="U182" s="103"/>
      <c r="V182" s="91">
        <v>0</v>
      </c>
      <c r="W182" s="103"/>
      <c r="X182" s="94"/>
      <c r="Y182" s="94"/>
      <c r="Z182" s="91">
        <f t="shared" si="17"/>
        <v>2445828.5099999993</v>
      </c>
      <c r="AA182" s="92">
        <v>2445828.5099999998</v>
      </c>
      <c r="AB182" s="92">
        <f t="shared" si="9"/>
        <v>0</v>
      </c>
    </row>
    <row r="183" spans="1:28" hidden="1" x14ac:dyDescent="0.2">
      <c r="A183" s="93">
        <v>36525</v>
      </c>
      <c r="B183" s="94">
        <v>4406271.49</v>
      </c>
      <c r="C183" s="94">
        <v>0</v>
      </c>
      <c r="D183" s="89"/>
      <c r="E183" s="89"/>
      <c r="F183" s="89"/>
      <c r="G183" s="90">
        <f t="shared" si="18"/>
        <v>4406271.49</v>
      </c>
      <c r="H183" s="91">
        <v>307195.09999999998</v>
      </c>
      <c r="I183" s="91"/>
      <c r="J183" s="91">
        <v>951127</v>
      </c>
      <c r="K183" s="90">
        <f t="shared" si="19"/>
        <v>951127</v>
      </c>
      <c r="L183" s="103"/>
      <c r="M183" s="103"/>
      <c r="N183" s="103"/>
      <c r="O183" s="103"/>
      <c r="P183" s="91">
        <v>88501.86</v>
      </c>
      <c r="Q183" s="103"/>
      <c r="R183" s="91">
        <v>272161.57</v>
      </c>
      <c r="S183" s="103"/>
      <c r="T183" s="91">
        <v>41.81</v>
      </c>
      <c r="U183" s="103"/>
      <c r="V183" s="91">
        <v>5416.15</v>
      </c>
      <c r="W183" s="103"/>
      <c r="X183" s="94"/>
      <c r="Y183" s="94"/>
      <c r="Z183" s="91">
        <f t="shared" si="17"/>
        <v>2792660.3000000003</v>
      </c>
      <c r="AA183" s="92">
        <v>2792660.3</v>
      </c>
      <c r="AB183" s="92">
        <f t="shared" ref="AB183:AB280" si="20">Z183-AA183</f>
        <v>0</v>
      </c>
    </row>
    <row r="184" spans="1:28" hidden="1" x14ac:dyDescent="0.2">
      <c r="A184" s="88">
        <v>36616</v>
      </c>
      <c r="B184" s="89">
        <v>1814120.43</v>
      </c>
      <c r="C184" s="89">
        <v>6720.4</v>
      </c>
      <c r="D184" s="89"/>
      <c r="E184" s="89"/>
      <c r="F184" s="89"/>
      <c r="G184" s="90">
        <f t="shared" si="18"/>
        <v>1807400.03</v>
      </c>
      <c r="H184" s="91">
        <v>503425.42</v>
      </c>
      <c r="I184" s="91"/>
      <c r="J184" s="91">
        <v>398088.12</v>
      </c>
      <c r="K184" s="90">
        <f t="shared" si="19"/>
        <v>398088.12</v>
      </c>
      <c r="L184" s="103"/>
      <c r="M184" s="103"/>
      <c r="N184" s="103"/>
      <c r="O184" s="103"/>
      <c r="P184" s="91">
        <v>44295.39</v>
      </c>
      <c r="Q184" s="103"/>
      <c r="R184" s="91">
        <v>99427.37</v>
      </c>
      <c r="S184" s="103"/>
      <c r="T184" s="91">
        <v>156.04</v>
      </c>
      <c r="U184" s="103"/>
      <c r="V184" s="91">
        <v>0</v>
      </c>
      <c r="W184" s="103"/>
      <c r="X184" s="89"/>
      <c r="Y184" s="89"/>
      <c r="Z184" s="91">
        <f t="shared" si="17"/>
        <v>762007.69000000006</v>
      </c>
      <c r="AA184" s="92">
        <v>762007.69</v>
      </c>
      <c r="AB184" s="92">
        <f t="shared" si="20"/>
        <v>0</v>
      </c>
    </row>
    <row r="185" spans="1:28" hidden="1" x14ac:dyDescent="0.2">
      <c r="A185" s="93">
        <v>36707</v>
      </c>
      <c r="B185" s="94">
        <v>415659.49</v>
      </c>
      <c r="C185" s="94">
        <v>83744.94</v>
      </c>
      <c r="D185" s="89"/>
      <c r="E185" s="89"/>
      <c r="F185" s="89"/>
      <c r="G185" s="90">
        <f t="shared" si="18"/>
        <v>331914.55</v>
      </c>
      <c r="H185" s="91">
        <v>568315.5</v>
      </c>
      <c r="I185" s="91"/>
      <c r="J185" s="91">
        <v>94003.04</v>
      </c>
      <c r="K185" s="90">
        <f t="shared" si="19"/>
        <v>94003.04</v>
      </c>
      <c r="L185" s="103"/>
      <c r="M185" s="103"/>
      <c r="N185" s="103"/>
      <c r="O185" s="103"/>
      <c r="P185" s="91">
        <v>42491.79</v>
      </c>
      <c r="Q185" s="103"/>
      <c r="R185" s="91">
        <v>-4957.28</v>
      </c>
      <c r="S185" s="103"/>
      <c r="T185" s="91">
        <v>1161.4100000000001</v>
      </c>
      <c r="U185" s="103"/>
      <c r="V185" s="91">
        <v>0</v>
      </c>
      <c r="W185" s="103"/>
      <c r="X185" s="94"/>
      <c r="Y185" s="94"/>
      <c r="Z185" s="91">
        <f t="shared" si="17"/>
        <v>-369099.90999999992</v>
      </c>
      <c r="AA185" s="92">
        <v>-369099.91</v>
      </c>
      <c r="AB185" s="92">
        <f t="shared" si="20"/>
        <v>0</v>
      </c>
    </row>
    <row r="186" spans="1:28" hidden="1" x14ac:dyDescent="0.2">
      <c r="A186" s="93">
        <v>36799</v>
      </c>
      <c r="B186" s="94">
        <v>200184.24</v>
      </c>
      <c r="C186" s="94">
        <v>89975.24</v>
      </c>
      <c r="D186" s="89"/>
      <c r="E186" s="89"/>
      <c r="F186" s="89"/>
      <c r="G186" s="90">
        <f t="shared" si="18"/>
        <v>110208.99999999999</v>
      </c>
      <c r="H186" s="91">
        <v>638299.71</v>
      </c>
      <c r="I186" s="91"/>
      <c r="J186" s="91">
        <v>47994.85</v>
      </c>
      <c r="K186" s="90">
        <f t="shared" si="19"/>
        <v>47994.85</v>
      </c>
      <c r="L186" s="103"/>
      <c r="M186" s="103"/>
      <c r="N186" s="103"/>
      <c r="O186" s="103"/>
      <c r="P186" s="91">
        <v>82294.55</v>
      </c>
      <c r="Q186" s="103"/>
      <c r="R186" s="91">
        <v>-8564.08</v>
      </c>
      <c r="S186" s="103"/>
      <c r="T186" s="91">
        <v>2140.63</v>
      </c>
      <c r="U186" s="103"/>
      <c r="V186" s="91">
        <v>0</v>
      </c>
      <c r="W186" s="103"/>
      <c r="X186" s="94"/>
      <c r="Y186" s="94"/>
      <c r="Z186" s="91">
        <f t="shared" si="17"/>
        <v>-651956.66</v>
      </c>
      <c r="AA186" s="92">
        <v>-651956.66</v>
      </c>
      <c r="AB186" s="92">
        <f t="shared" si="20"/>
        <v>0</v>
      </c>
    </row>
    <row r="187" spans="1:28" hidden="1" x14ac:dyDescent="0.2">
      <c r="A187" s="93">
        <v>36891</v>
      </c>
      <c r="B187" s="94">
        <v>475696.14</v>
      </c>
      <c r="C187" s="94">
        <v>45412.4</v>
      </c>
      <c r="D187" s="89"/>
      <c r="E187" s="89"/>
      <c r="F187" s="89"/>
      <c r="G187" s="90">
        <f t="shared" si="18"/>
        <v>430283.74</v>
      </c>
      <c r="H187" s="91">
        <v>772020.27</v>
      </c>
      <c r="I187" s="91"/>
      <c r="J187" s="91">
        <v>112758.47</v>
      </c>
      <c r="K187" s="90">
        <f t="shared" si="19"/>
        <v>112758.47</v>
      </c>
      <c r="L187" s="103"/>
      <c r="M187" s="103"/>
      <c r="N187" s="103"/>
      <c r="O187" s="103"/>
      <c r="P187" s="91">
        <v>54651.18</v>
      </c>
      <c r="Q187" s="103"/>
      <c r="R187" s="91">
        <v>15240.11</v>
      </c>
      <c r="S187" s="103"/>
      <c r="T187" s="91">
        <v>4422.07</v>
      </c>
      <c r="U187" s="103"/>
      <c r="V187" s="91">
        <v>0</v>
      </c>
      <c r="W187" s="103"/>
      <c r="X187" s="94"/>
      <c r="Y187" s="94"/>
      <c r="Z187" s="91">
        <f t="shared" si="17"/>
        <v>-528808.36</v>
      </c>
      <c r="AA187" s="92">
        <v>-528808.36</v>
      </c>
      <c r="AB187" s="92">
        <f t="shared" si="20"/>
        <v>0</v>
      </c>
    </row>
    <row r="188" spans="1:28" hidden="1" x14ac:dyDescent="0.2">
      <c r="A188" s="88">
        <v>36981</v>
      </c>
      <c r="B188" s="89">
        <v>557234.68000000005</v>
      </c>
      <c r="C188" s="89">
        <v>82755.399999999994</v>
      </c>
      <c r="D188" s="89"/>
      <c r="E188" s="89"/>
      <c r="F188" s="89"/>
      <c r="G188" s="90">
        <f t="shared" si="18"/>
        <v>474479.28</v>
      </c>
      <c r="H188" s="91">
        <v>629893.13</v>
      </c>
      <c r="I188" s="91"/>
      <c r="J188" s="91">
        <v>134605.60999999999</v>
      </c>
      <c r="K188" s="90">
        <f t="shared" si="19"/>
        <v>134605.60999999999</v>
      </c>
      <c r="L188" s="103"/>
      <c r="M188" s="103"/>
      <c r="N188" s="103"/>
      <c r="O188" s="103"/>
      <c r="P188" s="91">
        <v>-730.06</v>
      </c>
      <c r="Q188" s="103"/>
      <c r="R188" s="91">
        <v>29892.09</v>
      </c>
      <c r="S188" s="103"/>
      <c r="T188" s="91">
        <v>7563.05</v>
      </c>
      <c r="U188" s="103"/>
      <c r="V188" s="91">
        <v>0</v>
      </c>
      <c r="W188" s="103"/>
      <c r="X188" s="89"/>
      <c r="Y188" s="89"/>
      <c r="Z188" s="91">
        <f t="shared" si="17"/>
        <v>-326744.53999999998</v>
      </c>
      <c r="AA188" s="92">
        <v>-326744.53999999998</v>
      </c>
      <c r="AB188" s="92">
        <f t="shared" si="20"/>
        <v>0</v>
      </c>
    </row>
    <row r="189" spans="1:28" hidden="1" x14ac:dyDescent="0.2">
      <c r="A189" s="93">
        <v>37072</v>
      </c>
      <c r="B189" s="94">
        <v>214815.18</v>
      </c>
      <c r="C189" s="94">
        <v>83521.5</v>
      </c>
      <c r="D189" s="89"/>
      <c r="E189" s="89"/>
      <c r="F189" s="89"/>
      <c r="G189" s="90">
        <f t="shared" si="18"/>
        <v>131293.68</v>
      </c>
      <c r="H189" s="91">
        <v>548895.9</v>
      </c>
      <c r="I189" s="91"/>
      <c r="J189" s="91">
        <v>50312.55</v>
      </c>
      <c r="K189" s="90">
        <f t="shared" si="19"/>
        <v>50312.55</v>
      </c>
      <c r="L189" s="103"/>
      <c r="M189" s="103"/>
      <c r="N189" s="103"/>
      <c r="O189" s="103"/>
      <c r="P189" s="91">
        <v>1248.8599999999999</v>
      </c>
      <c r="Q189" s="103"/>
      <c r="R189" s="91">
        <v>-2365.77</v>
      </c>
      <c r="S189" s="103"/>
      <c r="T189" s="91">
        <v>10365.129999999999</v>
      </c>
      <c r="U189" s="103"/>
      <c r="V189" s="91">
        <v>0</v>
      </c>
      <c r="W189" s="103"/>
      <c r="X189" s="94"/>
      <c r="Y189" s="94"/>
      <c r="Z189" s="91">
        <f t="shared" si="17"/>
        <v>-477162.99</v>
      </c>
      <c r="AA189" s="92">
        <v>-477162.99</v>
      </c>
      <c r="AB189" s="92">
        <f t="shared" si="20"/>
        <v>0</v>
      </c>
    </row>
    <row r="190" spans="1:28" hidden="1" x14ac:dyDescent="0.2">
      <c r="A190" s="93">
        <v>37164</v>
      </c>
      <c r="B190" s="94">
        <v>-82077.919999999998</v>
      </c>
      <c r="C190" s="94">
        <v>193411.39</v>
      </c>
      <c r="D190" s="89"/>
      <c r="E190" s="89"/>
      <c r="F190" s="89"/>
      <c r="G190" s="90">
        <f t="shared" si="18"/>
        <v>-275489.31</v>
      </c>
      <c r="H190" s="91">
        <v>679661.99</v>
      </c>
      <c r="I190" s="91"/>
      <c r="J190" s="91">
        <v>-15021.99</v>
      </c>
      <c r="K190" s="90">
        <f t="shared" si="19"/>
        <v>-15021.99</v>
      </c>
      <c r="L190" s="103"/>
      <c r="M190" s="103"/>
      <c r="N190" s="103"/>
      <c r="O190" s="103"/>
      <c r="P190" s="91">
        <v>1139</v>
      </c>
      <c r="Q190" s="103"/>
      <c r="R190" s="91">
        <v>-13964.33</v>
      </c>
      <c r="S190" s="103"/>
      <c r="T190" s="91">
        <v>10917.64</v>
      </c>
      <c r="U190" s="103"/>
      <c r="V190" s="91">
        <v>0</v>
      </c>
      <c r="W190" s="103"/>
      <c r="X190" s="94"/>
      <c r="Y190" s="94"/>
      <c r="Z190" s="91">
        <f t="shared" si="17"/>
        <v>-938221.62000000011</v>
      </c>
      <c r="AA190" s="92">
        <v>-938221.62</v>
      </c>
      <c r="AB190" s="92">
        <f t="shared" si="20"/>
        <v>0</v>
      </c>
    </row>
    <row r="191" spans="1:28" hidden="1" x14ac:dyDescent="0.2">
      <c r="A191" s="93">
        <v>37256</v>
      </c>
      <c r="B191" s="94">
        <v>48946.36</v>
      </c>
      <c r="C191" s="94">
        <v>60572.62</v>
      </c>
      <c r="D191" s="89"/>
      <c r="E191" s="89"/>
      <c r="F191" s="89"/>
      <c r="G191" s="90">
        <f t="shared" si="18"/>
        <v>-11626.260000000002</v>
      </c>
      <c r="H191" s="91">
        <v>420630.51</v>
      </c>
      <c r="I191" s="91"/>
      <c r="J191" s="91">
        <v>12022.84</v>
      </c>
      <c r="K191" s="90">
        <f t="shared" si="19"/>
        <v>12022.84</v>
      </c>
      <c r="L191" s="103"/>
      <c r="M191" s="103"/>
      <c r="N191" s="103"/>
      <c r="O191" s="103"/>
      <c r="P191" s="91">
        <v>1790.89</v>
      </c>
      <c r="Q191" s="103"/>
      <c r="R191" s="91">
        <v>4069.69</v>
      </c>
      <c r="S191" s="103"/>
      <c r="T191" s="91">
        <v>2972.43</v>
      </c>
      <c r="U191" s="103"/>
      <c r="V191" s="91">
        <v>0</v>
      </c>
      <c r="W191" s="103"/>
      <c r="X191" s="94"/>
      <c r="Y191" s="94"/>
      <c r="Z191" s="91">
        <f t="shared" si="17"/>
        <v>-453112.62000000005</v>
      </c>
      <c r="AA191" s="92">
        <v>-453112.62</v>
      </c>
      <c r="AB191" s="92">
        <f t="shared" si="20"/>
        <v>0</v>
      </c>
    </row>
    <row r="192" spans="1:28" hidden="1" x14ac:dyDescent="0.2">
      <c r="A192" s="93">
        <v>37346</v>
      </c>
      <c r="B192" s="94">
        <v>-8165</v>
      </c>
      <c r="C192" s="94">
        <v>-20016.53</v>
      </c>
      <c r="D192" s="89"/>
      <c r="E192" s="89"/>
      <c r="F192" s="89"/>
      <c r="G192" s="90">
        <f t="shared" si="18"/>
        <v>11851.529999999999</v>
      </c>
      <c r="H192" s="91">
        <v>633189.89</v>
      </c>
      <c r="I192" s="91"/>
      <c r="J192" s="91">
        <v>-1928.88</v>
      </c>
      <c r="K192" s="90">
        <f t="shared" si="19"/>
        <v>-1928.88</v>
      </c>
      <c r="L192" s="103"/>
      <c r="M192" s="103"/>
      <c r="N192" s="103"/>
      <c r="O192" s="103"/>
      <c r="P192" s="91">
        <v>437.71</v>
      </c>
      <c r="Q192" s="103"/>
      <c r="R192" s="91">
        <v>-369.54</v>
      </c>
      <c r="S192" s="103"/>
      <c r="T192" s="91">
        <v>4042.65</v>
      </c>
      <c r="U192" s="103"/>
      <c r="V192" s="91">
        <v>0</v>
      </c>
      <c r="W192" s="103"/>
      <c r="X192" s="94"/>
      <c r="Y192" s="94"/>
      <c r="Z192" s="91">
        <f t="shared" si="17"/>
        <v>-623520.29999999993</v>
      </c>
      <c r="AA192" s="92">
        <v>-623520.30000000005</v>
      </c>
      <c r="AB192" s="92">
        <f t="shared" si="20"/>
        <v>0</v>
      </c>
    </row>
    <row r="193" spans="1:28" hidden="1" x14ac:dyDescent="0.2">
      <c r="A193" s="93">
        <v>37437</v>
      </c>
      <c r="B193" s="94">
        <v>-15275</v>
      </c>
      <c r="C193" s="94">
        <v>2954.57</v>
      </c>
      <c r="D193" s="89"/>
      <c r="E193" s="89"/>
      <c r="F193" s="89"/>
      <c r="G193" s="90">
        <f t="shared" si="18"/>
        <v>-18229.57</v>
      </c>
      <c r="H193" s="91">
        <v>362637.38</v>
      </c>
      <c r="I193" s="91"/>
      <c r="J193" s="91">
        <v>-3665</v>
      </c>
      <c r="K193" s="90">
        <f t="shared" si="19"/>
        <v>-3665</v>
      </c>
      <c r="L193" s="103"/>
      <c r="M193" s="103"/>
      <c r="N193" s="103"/>
      <c r="O193" s="103"/>
      <c r="P193" s="91">
        <v>-1</v>
      </c>
      <c r="Q193" s="103"/>
      <c r="R193" s="91">
        <v>-599.29</v>
      </c>
      <c r="S193" s="103"/>
      <c r="T193" s="91">
        <v>2922.57</v>
      </c>
      <c r="U193" s="103"/>
      <c r="V193" s="91">
        <v>0</v>
      </c>
      <c r="W193" s="103"/>
      <c r="X193" s="94"/>
      <c r="Y193" s="94"/>
      <c r="Z193" s="91">
        <f t="shared" si="17"/>
        <v>-379524.23000000004</v>
      </c>
      <c r="AA193" s="92">
        <v>-379524.23</v>
      </c>
      <c r="AB193" s="92">
        <f t="shared" si="20"/>
        <v>0</v>
      </c>
    </row>
    <row r="194" spans="1:28" hidden="1" x14ac:dyDescent="0.2">
      <c r="A194" s="93">
        <v>37620</v>
      </c>
      <c r="B194" s="94">
        <v>-3937</v>
      </c>
      <c r="C194" s="94">
        <v>3917.43</v>
      </c>
      <c r="D194" s="89"/>
      <c r="E194" s="89"/>
      <c r="F194" s="89"/>
      <c r="G194" s="90">
        <f t="shared" si="18"/>
        <v>-7854.43</v>
      </c>
      <c r="H194" s="91">
        <v>285392.28999999998</v>
      </c>
      <c r="I194" s="91"/>
      <c r="J194" s="91">
        <v>-944.88</v>
      </c>
      <c r="K194" s="90">
        <f t="shared" si="19"/>
        <v>-944.88</v>
      </c>
      <c r="L194" s="103"/>
      <c r="M194" s="103"/>
      <c r="N194" s="103"/>
      <c r="O194" s="103"/>
      <c r="P194" s="91">
        <v>0</v>
      </c>
      <c r="Q194" s="103"/>
      <c r="R194" s="91">
        <v>-512.24</v>
      </c>
      <c r="S194" s="103"/>
      <c r="T194" s="91">
        <v>837.5</v>
      </c>
      <c r="U194" s="103"/>
      <c r="V194" s="91">
        <v>0</v>
      </c>
      <c r="W194" s="103"/>
      <c r="X194" s="94"/>
      <c r="Y194" s="94"/>
      <c r="Z194" s="91">
        <f t="shared" si="17"/>
        <v>-292627.09999999998</v>
      </c>
      <c r="AA194" s="92">
        <v>-292627.09999999998</v>
      </c>
      <c r="AB194" s="92">
        <f t="shared" si="20"/>
        <v>0</v>
      </c>
    </row>
    <row r="195" spans="1:28" hidden="1" x14ac:dyDescent="0.2">
      <c r="A195" s="93">
        <v>37621</v>
      </c>
      <c r="B195" s="94">
        <v>-92622</v>
      </c>
      <c r="C195" s="94">
        <v>-93726.399999999994</v>
      </c>
      <c r="D195" s="89"/>
      <c r="E195" s="89"/>
      <c r="F195" s="89"/>
      <c r="G195" s="90">
        <f t="shared" si="18"/>
        <v>1104.3999999999942</v>
      </c>
      <c r="H195" s="91">
        <v>266479.84000000003</v>
      </c>
      <c r="I195" s="91"/>
      <c r="J195" s="91">
        <v>-22229.279999999999</v>
      </c>
      <c r="K195" s="90">
        <f t="shared" si="19"/>
        <v>-22229.279999999999</v>
      </c>
      <c r="L195" s="103"/>
      <c r="M195" s="103"/>
      <c r="N195" s="103"/>
      <c r="O195" s="103"/>
      <c r="P195" s="91">
        <v>0</v>
      </c>
      <c r="Q195" s="103"/>
      <c r="R195" s="91">
        <v>-3950.32</v>
      </c>
      <c r="S195" s="103"/>
      <c r="T195" s="91">
        <v>1132.9000000000001</v>
      </c>
      <c r="U195" s="103"/>
      <c r="V195" s="91">
        <v>0</v>
      </c>
      <c r="W195" s="103"/>
      <c r="X195" s="94"/>
      <c r="Y195" s="94"/>
      <c r="Z195" s="91">
        <f t="shared" si="17"/>
        <v>-240328.74000000005</v>
      </c>
      <c r="AA195" s="92">
        <v>-240328.74</v>
      </c>
      <c r="AB195" s="92">
        <f t="shared" si="20"/>
        <v>0</v>
      </c>
    </row>
    <row r="196" spans="1:28" hidden="1" x14ac:dyDescent="0.2">
      <c r="A196" s="95">
        <v>37711</v>
      </c>
      <c r="B196" s="91">
        <v>-1842</v>
      </c>
      <c r="C196" s="91">
        <v>-8498</v>
      </c>
      <c r="D196" s="90"/>
      <c r="E196" s="90"/>
      <c r="F196" s="90"/>
      <c r="G196" s="90">
        <f t="shared" si="18"/>
        <v>6656</v>
      </c>
      <c r="H196" s="91">
        <v>2031.24</v>
      </c>
      <c r="I196" s="91"/>
      <c r="J196" s="91">
        <v>-390.24</v>
      </c>
      <c r="K196" s="90">
        <f t="shared" si="19"/>
        <v>-390.24</v>
      </c>
      <c r="L196" s="103"/>
      <c r="M196" s="103"/>
      <c r="N196" s="103"/>
      <c r="O196" s="103"/>
      <c r="P196" s="91">
        <v>0</v>
      </c>
      <c r="Q196" s="103"/>
      <c r="R196" s="91">
        <v>146.11000000000001</v>
      </c>
      <c r="S196" s="103"/>
      <c r="T196" s="91">
        <v>882.28</v>
      </c>
      <c r="U196" s="103"/>
      <c r="V196" s="91">
        <v>0</v>
      </c>
      <c r="W196" s="103"/>
      <c r="X196" s="91"/>
      <c r="Y196" s="91"/>
      <c r="Z196" s="91">
        <f t="shared" si="17"/>
        <v>3986.6100000000006</v>
      </c>
      <c r="AA196" s="92">
        <v>3986.61</v>
      </c>
      <c r="AB196" s="92">
        <f t="shared" si="20"/>
        <v>0</v>
      </c>
    </row>
    <row r="197" spans="1:28" hidden="1" x14ac:dyDescent="0.2">
      <c r="A197" s="95">
        <v>37802</v>
      </c>
      <c r="B197" s="91">
        <v>31281</v>
      </c>
      <c r="C197" s="91">
        <v>-17020.560000000001</v>
      </c>
      <c r="D197" s="90"/>
      <c r="E197" s="90"/>
      <c r="F197" s="90"/>
      <c r="G197" s="90">
        <f t="shared" si="18"/>
        <v>48301.56</v>
      </c>
      <c r="H197" s="91">
        <v>588520.06999999995</v>
      </c>
      <c r="I197" s="91"/>
      <c r="J197" s="91">
        <v>7507.44</v>
      </c>
      <c r="K197" s="90">
        <f t="shared" si="19"/>
        <v>7507.44</v>
      </c>
      <c r="L197" s="103"/>
      <c r="M197" s="103"/>
      <c r="N197" s="103"/>
      <c r="O197" s="103"/>
      <c r="P197" s="91">
        <v>0</v>
      </c>
      <c r="Q197" s="103"/>
      <c r="R197" s="91">
        <v>1356.85</v>
      </c>
      <c r="S197" s="103"/>
      <c r="T197" s="91">
        <v>1821.66</v>
      </c>
      <c r="U197" s="103"/>
      <c r="V197" s="91">
        <v>0</v>
      </c>
      <c r="W197" s="103"/>
      <c r="X197" s="91"/>
      <c r="Y197" s="91"/>
      <c r="Z197" s="91">
        <f>G197-H197-J197-P197-R197-T197+V197</f>
        <v>-550904.46</v>
      </c>
      <c r="AA197" s="92">
        <v>-550904.46</v>
      </c>
      <c r="AB197" s="92">
        <f t="shared" si="20"/>
        <v>0</v>
      </c>
    </row>
    <row r="198" spans="1:28" hidden="1" x14ac:dyDescent="0.2">
      <c r="A198" s="95">
        <v>37894</v>
      </c>
      <c r="B198" s="91">
        <v>7869</v>
      </c>
      <c r="C198" s="91">
        <v>4960</v>
      </c>
      <c r="D198" s="90"/>
      <c r="E198" s="90"/>
      <c r="F198" s="90"/>
      <c r="G198" s="90">
        <f t="shared" si="18"/>
        <v>2909</v>
      </c>
      <c r="H198" s="91">
        <v>177731.07</v>
      </c>
      <c r="I198" s="91"/>
      <c r="J198" s="91">
        <v>1888.56</v>
      </c>
      <c r="K198" s="90">
        <f t="shared" si="19"/>
        <v>1888.56</v>
      </c>
      <c r="L198" s="103"/>
      <c r="M198" s="103"/>
      <c r="N198" s="103"/>
      <c r="O198" s="103"/>
      <c r="P198" s="91">
        <v>0</v>
      </c>
      <c r="Q198" s="103"/>
      <c r="R198" s="91">
        <v>461.23</v>
      </c>
      <c r="S198" s="103"/>
      <c r="T198" s="91">
        <v>-1033.8800000000001</v>
      </c>
      <c r="U198" s="103"/>
      <c r="V198" s="91">
        <v>0</v>
      </c>
      <c r="W198" s="103"/>
      <c r="X198" s="91"/>
      <c r="Y198" s="91"/>
      <c r="Z198" s="91">
        <f t="shared" si="17"/>
        <v>-176137.98</v>
      </c>
      <c r="AA198" s="92">
        <v>-176137.98</v>
      </c>
      <c r="AB198" s="92">
        <f t="shared" si="20"/>
        <v>0</v>
      </c>
    </row>
    <row r="199" spans="1:28" hidden="1" x14ac:dyDescent="0.2">
      <c r="A199" s="95">
        <v>37986</v>
      </c>
      <c r="B199" s="91">
        <v>-12722</v>
      </c>
      <c r="C199" s="91">
        <v>5132.8100000000004</v>
      </c>
      <c r="D199" s="90"/>
      <c r="E199" s="90"/>
      <c r="F199" s="90"/>
      <c r="G199" s="90">
        <f t="shared" si="18"/>
        <v>-17854.810000000001</v>
      </c>
      <c r="H199" s="91">
        <v>155117.12</v>
      </c>
      <c r="I199" s="91"/>
      <c r="J199" s="91">
        <v>-3053.28</v>
      </c>
      <c r="K199" s="90">
        <f t="shared" si="19"/>
        <v>-3053.28</v>
      </c>
      <c r="L199" s="103"/>
      <c r="M199" s="103"/>
      <c r="N199" s="103"/>
      <c r="O199" s="103"/>
      <c r="P199" s="91">
        <v>0</v>
      </c>
      <c r="Q199" s="103"/>
      <c r="R199" s="91">
        <v>105</v>
      </c>
      <c r="S199" s="103"/>
      <c r="T199" s="91">
        <v>177.11</v>
      </c>
      <c r="U199" s="103"/>
      <c r="V199" s="91">
        <v>0</v>
      </c>
      <c r="W199" s="103"/>
      <c r="X199" s="91"/>
      <c r="Y199" s="91"/>
      <c r="Z199" s="91">
        <f t="shared" si="17"/>
        <v>-170200.75999999998</v>
      </c>
      <c r="AA199" s="92">
        <v>-170200.76</v>
      </c>
      <c r="AB199" s="92">
        <f t="shared" si="20"/>
        <v>0</v>
      </c>
    </row>
    <row r="200" spans="1:28" hidden="1" x14ac:dyDescent="0.2">
      <c r="A200" s="95">
        <v>38077</v>
      </c>
      <c r="B200" s="91">
        <v>-7</v>
      </c>
      <c r="C200" s="91">
        <v>3811</v>
      </c>
      <c r="D200" s="90"/>
      <c r="E200" s="90"/>
      <c r="F200" s="90"/>
      <c r="G200" s="90">
        <f t="shared" si="18"/>
        <v>-3818</v>
      </c>
      <c r="H200" s="91">
        <v>353318.69</v>
      </c>
      <c r="I200" s="91"/>
      <c r="J200" s="91">
        <v>-1.68</v>
      </c>
      <c r="K200" s="90">
        <f t="shared" si="19"/>
        <v>-1.68</v>
      </c>
      <c r="L200" s="103"/>
      <c r="M200" s="103"/>
      <c r="N200" s="103"/>
      <c r="O200" s="103"/>
      <c r="P200" s="91">
        <v>0</v>
      </c>
      <c r="Q200" s="103"/>
      <c r="R200" s="91">
        <v>-4216.6099999999997</v>
      </c>
      <c r="S200" s="103"/>
      <c r="T200" s="91">
        <v>70</v>
      </c>
      <c r="U200" s="103"/>
      <c r="V200" s="91">
        <v>0</v>
      </c>
      <c r="W200" s="103"/>
      <c r="X200" s="91"/>
      <c r="Y200" s="91"/>
      <c r="Z200" s="91">
        <f t="shared" si="17"/>
        <v>-352988.4</v>
      </c>
      <c r="AA200" s="92">
        <v>-352988.4</v>
      </c>
      <c r="AB200" s="92">
        <f t="shared" si="20"/>
        <v>0</v>
      </c>
    </row>
    <row r="201" spans="1:28" hidden="1" x14ac:dyDescent="0.2">
      <c r="A201" s="95">
        <v>38168</v>
      </c>
      <c r="B201" s="91">
        <v>-48</v>
      </c>
      <c r="C201" s="91">
        <v>35591.61</v>
      </c>
      <c r="D201" s="90"/>
      <c r="E201" s="90"/>
      <c r="F201" s="90"/>
      <c r="G201" s="90">
        <f t="shared" si="18"/>
        <v>-35639.61</v>
      </c>
      <c r="H201" s="91">
        <v>43121.06</v>
      </c>
      <c r="I201" s="91"/>
      <c r="J201" s="91">
        <v>-366.38</v>
      </c>
      <c r="K201" s="90">
        <f t="shared" si="19"/>
        <v>-366.38</v>
      </c>
      <c r="L201" s="103"/>
      <c r="M201" s="103"/>
      <c r="N201" s="103"/>
      <c r="O201" s="103"/>
      <c r="P201" s="91">
        <v>0</v>
      </c>
      <c r="Q201" s="103"/>
      <c r="R201" s="91">
        <v>-1266.23</v>
      </c>
      <c r="S201" s="103"/>
      <c r="T201" s="91">
        <v>89.35</v>
      </c>
      <c r="U201" s="103"/>
      <c r="V201" s="91">
        <v>0</v>
      </c>
      <c r="W201" s="103"/>
      <c r="X201" s="91"/>
      <c r="Y201" s="91"/>
      <c r="Z201" s="91">
        <f t="shared" si="17"/>
        <v>-77217.41</v>
      </c>
      <c r="AA201" s="92">
        <v>-77217.41</v>
      </c>
      <c r="AB201" s="92">
        <f t="shared" si="20"/>
        <v>0</v>
      </c>
    </row>
    <row r="202" spans="1:28" hidden="1" x14ac:dyDescent="0.2">
      <c r="A202" s="95">
        <v>38260</v>
      </c>
      <c r="B202" s="91">
        <v>2264</v>
      </c>
      <c r="C202" s="91">
        <v>-7154.47</v>
      </c>
      <c r="D202" s="90"/>
      <c r="E202" s="90"/>
      <c r="F202" s="90"/>
      <c r="G202" s="90">
        <f t="shared" si="18"/>
        <v>9418.4700000000012</v>
      </c>
      <c r="H202" s="91">
        <v>63864.78</v>
      </c>
      <c r="I202" s="91"/>
      <c r="J202" s="91">
        <v>543.36</v>
      </c>
      <c r="K202" s="90">
        <f t="shared" si="19"/>
        <v>543.36</v>
      </c>
      <c r="L202" s="103"/>
      <c r="M202" s="103"/>
      <c r="N202" s="103"/>
      <c r="O202" s="103"/>
      <c r="P202" s="91">
        <v>0</v>
      </c>
      <c r="Q202" s="103"/>
      <c r="R202" s="91">
        <v>508.52</v>
      </c>
      <c r="S202" s="103"/>
      <c r="T202" s="91">
        <v>1045</v>
      </c>
      <c r="U202" s="103"/>
      <c r="V202" s="91">
        <v>0</v>
      </c>
      <c r="W202" s="103"/>
      <c r="X202" s="91"/>
      <c r="Y202" s="91"/>
      <c r="Z202" s="91">
        <f t="shared" si="17"/>
        <v>-56543.189999999995</v>
      </c>
      <c r="AA202" s="92">
        <v>-56543.19</v>
      </c>
      <c r="AB202" s="92">
        <f t="shared" si="20"/>
        <v>0</v>
      </c>
    </row>
    <row r="203" spans="1:28" hidden="1" x14ac:dyDescent="0.2">
      <c r="A203" s="95">
        <v>38352</v>
      </c>
      <c r="B203" s="91">
        <v>-2306</v>
      </c>
      <c r="C203" s="91">
        <v>434.93</v>
      </c>
      <c r="D203" s="90"/>
      <c r="E203" s="90"/>
      <c r="F203" s="90"/>
      <c r="G203" s="90">
        <f t="shared" si="18"/>
        <v>-2740.93</v>
      </c>
      <c r="H203" s="91">
        <v>45482.9</v>
      </c>
      <c r="I203" s="91"/>
      <c r="J203" s="91">
        <v>-553.44000000000005</v>
      </c>
      <c r="K203" s="90">
        <f t="shared" si="19"/>
        <v>-553.44000000000005</v>
      </c>
      <c r="L203" s="103"/>
      <c r="M203" s="103"/>
      <c r="N203" s="103"/>
      <c r="O203" s="103"/>
      <c r="P203" s="91">
        <v>0</v>
      </c>
      <c r="Q203" s="103"/>
      <c r="R203" s="91">
        <v>-241.37</v>
      </c>
      <c r="S203" s="103"/>
      <c r="T203" s="91">
        <v>299.39999999999998</v>
      </c>
      <c r="U203" s="103"/>
      <c r="V203" s="91">
        <v>0</v>
      </c>
      <c r="W203" s="103"/>
      <c r="X203" s="91"/>
      <c r="Y203" s="91"/>
      <c r="Z203" s="91">
        <f t="shared" si="17"/>
        <v>-47728.42</v>
      </c>
      <c r="AA203" s="92">
        <v>-47728.42</v>
      </c>
      <c r="AB203" s="92">
        <f t="shared" si="20"/>
        <v>0</v>
      </c>
    </row>
    <row r="204" spans="1:28" hidden="1" x14ac:dyDescent="0.2">
      <c r="A204" s="95">
        <v>38442</v>
      </c>
      <c r="B204" s="91">
        <v>-528</v>
      </c>
      <c r="C204" s="91">
        <v>-6229</v>
      </c>
      <c r="D204" s="90"/>
      <c r="E204" s="90"/>
      <c r="F204" s="90"/>
      <c r="G204" s="90">
        <f t="shared" si="18"/>
        <v>5701</v>
      </c>
      <c r="H204" s="91">
        <v>17427.939999999999</v>
      </c>
      <c r="I204" s="91"/>
      <c r="J204" s="91">
        <v>-126.72</v>
      </c>
      <c r="K204" s="90">
        <f t="shared" si="19"/>
        <v>-126.72</v>
      </c>
      <c r="L204" s="103"/>
      <c r="M204" s="103"/>
      <c r="N204" s="103"/>
      <c r="O204" s="103"/>
      <c r="P204" s="91">
        <v>0</v>
      </c>
      <c r="Q204" s="103"/>
      <c r="R204" s="91">
        <v>272.24</v>
      </c>
      <c r="S204" s="103"/>
      <c r="T204" s="91">
        <v>955.23</v>
      </c>
      <c r="U204" s="103"/>
      <c r="V204" s="91">
        <v>0</v>
      </c>
      <c r="W204" s="103"/>
      <c r="X204" s="91"/>
      <c r="Y204" s="91"/>
      <c r="Z204" s="91">
        <f t="shared" si="17"/>
        <v>-12827.689999999999</v>
      </c>
      <c r="AA204" s="92">
        <v>-12827.69</v>
      </c>
      <c r="AB204" s="92">
        <f t="shared" si="20"/>
        <v>0</v>
      </c>
    </row>
    <row r="205" spans="1:28" hidden="1" x14ac:dyDescent="0.2">
      <c r="A205" s="95">
        <v>38533</v>
      </c>
      <c r="B205" s="91">
        <v>254</v>
      </c>
      <c r="C205" s="91">
        <v>0</v>
      </c>
      <c r="D205" s="90"/>
      <c r="E205" s="90"/>
      <c r="F205" s="90"/>
      <c r="G205" s="90">
        <f t="shared" si="18"/>
        <v>254</v>
      </c>
      <c r="H205" s="91">
        <v>-24888.21</v>
      </c>
      <c r="I205" s="91"/>
      <c r="J205" s="91">
        <v>60.96</v>
      </c>
      <c r="K205" s="90">
        <f t="shared" si="19"/>
        <v>60.96</v>
      </c>
      <c r="L205" s="103"/>
      <c r="M205" s="103"/>
      <c r="N205" s="103"/>
      <c r="O205" s="103"/>
      <c r="P205" s="91">
        <v>0</v>
      </c>
      <c r="Q205" s="103"/>
      <c r="R205" s="91">
        <v>378.63</v>
      </c>
      <c r="S205" s="103"/>
      <c r="T205" s="91">
        <v>122.15</v>
      </c>
      <c r="U205" s="103"/>
      <c r="V205" s="91">
        <v>0</v>
      </c>
      <c r="W205" s="103"/>
      <c r="X205" s="91"/>
      <c r="Y205" s="91"/>
      <c r="Z205" s="91">
        <f t="shared" si="17"/>
        <v>24580.469999999998</v>
      </c>
      <c r="AA205" s="92">
        <v>24580.47</v>
      </c>
      <c r="AB205" s="92">
        <f t="shared" si="20"/>
        <v>0</v>
      </c>
    </row>
    <row r="206" spans="1:28" hidden="1" x14ac:dyDescent="0.2">
      <c r="A206" s="95">
        <v>38625</v>
      </c>
      <c r="B206" s="91">
        <v>18</v>
      </c>
      <c r="C206" s="91">
        <v>-514.82000000000005</v>
      </c>
      <c r="D206" s="90"/>
      <c r="E206" s="90"/>
      <c r="F206" s="90"/>
      <c r="G206" s="90">
        <f t="shared" si="18"/>
        <v>532.82000000000005</v>
      </c>
      <c r="H206" s="91">
        <v>-22620.49</v>
      </c>
      <c r="I206" s="91"/>
      <c r="J206" s="91">
        <v>4.32</v>
      </c>
      <c r="K206" s="90">
        <f t="shared" si="19"/>
        <v>4.32</v>
      </c>
      <c r="L206" s="103"/>
      <c r="M206" s="103"/>
      <c r="N206" s="103"/>
      <c r="O206" s="103"/>
      <c r="P206" s="91">
        <v>0</v>
      </c>
      <c r="Q206" s="103"/>
      <c r="R206" s="91">
        <v>1</v>
      </c>
      <c r="S206" s="103"/>
      <c r="T206" s="91">
        <v>0</v>
      </c>
      <c r="U206" s="103"/>
      <c r="V206" s="91">
        <v>0</v>
      </c>
      <c r="W206" s="103"/>
      <c r="X206" s="91"/>
      <c r="Y206" s="91"/>
      <c r="Z206" s="91">
        <f t="shared" si="17"/>
        <v>23147.99</v>
      </c>
      <c r="AA206" s="92">
        <v>23147.99</v>
      </c>
      <c r="AB206" s="92">
        <f t="shared" si="20"/>
        <v>0</v>
      </c>
    </row>
    <row r="207" spans="1:28" hidden="1" x14ac:dyDescent="0.2">
      <c r="A207" s="95">
        <v>38717</v>
      </c>
      <c r="B207" s="91">
        <v>0</v>
      </c>
      <c r="C207" s="91">
        <v>0</v>
      </c>
      <c r="D207" s="90"/>
      <c r="E207" s="90"/>
      <c r="F207" s="90"/>
      <c r="G207" s="90">
        <f t="shared" si="18"/>
        <v>0</v>
      </c>
      <c r="H207" s="91">
        <v>19187.009999999998</v>
      </c>
      <c r="I207" s="91"/>
      <c r="J207" s="91">
        <v>0</v>
      </c>
      <c r="K207" s="90">
        <f t="shared" si="19"/>
        <v>0</v>
      </c>
      <c r="L207" s="103"/>
      <c r="M207" s="103"/>
      <c r="N207" s="103"/>
      <c r="O207" s="103"/>
      <c r="P207" s="91">
        <v>0</v>
      </c>
      <c r="Q207" s="103"/>
      <c r="R207" s="91">
        <v>0</v>
      </c>
      <c r="S207" s="103"/>
      <c r="T207" s="91">
        <v>0</v>
      </c>
      <c r="U207" s="103"/>
      <c r="V207" s="91">
        <v>0</v>
      </c>
      <c r="W207" s="103"/>
      <c r="X207" s="91"/>
      <c r="Y207" s="91"/>
      <c r="Z207" s="91">
        <f t="shared" si="17"/>
        <v>-19187.009999999998</v>
      </c>
      <c r="AA207" s="92">
        <v>-19187.009999999998</v>
      </c>
      <c r="AB207" s="92">
        <f t="shared" si="20"/>
        <v>0</v>
      </c>
    </row>
    <row r="208" spans="1:28" hidden="1" x14ac:dyDescent="0.2">
      <c r="A208" s="95">
        <v>38807</v>
      </c>
      <c r="B208" s="91">
        <v>0</v>
      </c>
      <c r="C208" s="91">
        <v>-8763.82</v>
      </c>
      <c r="D208" s="90"/>
      <c r="E208" s="90"/>
      <c r="F208" s="90"/>
      <c r="G208" s="90">
        <f t="shared" si="18"/>
        <v>8763.82</v>
      </c>
      <c r="H208" s="91">
        <v>-24227.41</v>
      </c>
      <c r="I208" s="91"/>
      <c r="J208" s="91">
        <v>0</v>
      </c>
      <c r="K208" s="90">
        <f t="shared" si="19"/>
        <v>0</v>
      </c>
      <c r="L208" s="103"/>
      <c r="M208" s="103"/>
      <c r="N208" s="103"/>
      <c r="O208" s="103"/>
      <c r="P208" s="91">
        <v>0</v>
      </c>
      <c r="Q208" s="103"/>
      <c r="R208" s="91">
        <v>362.15</v>
      </c>
      <c r="S208" s="103"/>
      <c r="T208" s="91">
        <v>150</v>
      </c>
      <c r="U208" s="103"/>
      <c r="V208" s="91">
        <v>0</v>
      </c>
      <c r="W208" s="103"/>
      <c r="X208" s="91"/>
      <c r="Y208" s="91"/>
      <c r="Z208" s="91">
        <f t="shared" ref="Z208:Z223" si="21">G208-H208-J208-P208-R208-T208+V208</f>
        <v>32479.079999999994</v>
      </c>
      <c r="AA208" s="92">
        <v>32479.08</v>
      </c>
      <c r="AB208" s="92">
        <f t="shared" si="20"/>
        <v>0</v>
      </c>
    </row>
    <row r="209" spans="1:28" hidden="1" x14ac:dyDescent="0.2">
      <c r="A209" s="95">
        <v>38898</v>
      </c>
      <c r="B209" s="91">
        <v>8615</v>
      </c>
      <c r="C209" s="91">
        <v>0</v>
      </c>
      <c r="D209" s="90"/>
      <c r="E209" s="90"/>
      <c r="F209" s="90"/>
      <c r="G209" s="90">
        <f t="shared" si="18"/>
        <v>8615</v>
      </c>
      <c r="H209" s="91">
        <v>15883.75</v>
      </c>
      <c r="I209" s="91"/>
      <c r="J209" s="91">
        <v>1786.08</v>
      </c>
      <c r="K209" s="90">
        <v>1786.08</v>
      </c>
      <c r="L209" s="103"/>
      <c r="M209" s="103">
        <v>0</v>
      </c>
      <c r="N209" s="103"/>
      <c r="O209" s="103"/>
      <c r="P209" s="91">
        <v>0</v>
      </c>
      <c r="Q209" s="103"/>
      <c r="R209" s="91">
        <v>297</v>
      </c>
      <c r="S209" s="103"/>
      <c r="T209" s="91">
        <v>0</v>
      </c>
      <c r="U209" s="103"/>
      <c r="V209" s="91">
        <v>0</v>
      </c>
      <c r="W209" s="103"/>
      <c r="X209" s="91"/>
      <c r="Y209" s="91"/>
      <c r="Z209" s="91">
        <f t="shared" si="21"/>
        <v>-9351.83</v>
      </c>
      <c r="AA209" s="92">
        <v>-9351.83</v>
      </c>
      <c r="AB209" s="92">
        <f t="shared" si="20"/>
        <v>0</v>
      </c>
    </row>
    <row r="210" spans="1:28" hidden="1" x14ac:dyDescent="0.2">
      <c r="A210" s="95">
        <v>38990</v>
      </c>
      <c r="B210" s="91">
        <v>-15</v>
      </c>
      <c r="C210" s="91">
        <v>0</v>
      </c>
      <c r="D210" s="90"/>
      <c r="E210" s="90"/>
      <c r="F210" s="90"/>
      <c r="G210" s="90">
        <f t="shared" si="18"/>
        <v>-15</v>
      </c>
      <c r="H210" s="91">
        <v>9825.1299999999992</v>
      </c>
      <c r="I210" s="91"/>
      <c r="J210" s="91">
        <v>-3.6</v>
      </c>
      <c r="K210" s="90">
        <v>-3.6</v>
      </c>
      <c r="L210" s="103"/>
      <c r="M210" s="103">
        <v>0</v>
      </c>
      <c r="N210" s="103"/>
      <c r="O210" s="103"/>
      <c r="P210" s="91">
        <v>0</v>
      </c>
      <c r="Q210" s="103"/>
      <c r="R210" s="91">
        <v>-1</v>
      </c>
      <c r="S210" s="103"/>
      <c r="T210" s="91">
        <v>-1530.79</v>
      </c>
      <c r="U210" s="103"/>
      <c r="V210" s="91">
        <v>0</v>
      </c>
      <c r="W210" s="103"/>
      <c r="X210" s="91"/>
      <c r="Y210" s="91"/>
      <c r="Z210" s="91">
        <f t="shared" si="21"/>
        <v>-8304.739999999998</v>
      </c>
      <c r="AA210" s="92">
        <v>-8304.74</v>
      </c>
      <c r="AB210" s="92">
        <f t="shared" si="20"/>
        <v>0</v>
      </c>
    </row>
    <row r="211" spans="1:28" hidden="1" x14ac:dyDescent="0.2">
      <c r="A211" s="95">
        <v>39082</v>
      </c>
      <c r="B211" s="91">
        <v>2274</v>
      </c>
      <c r="C211" s="91">
        <v>6568.34</v>
      </c>
      <c r="D211" s="90"/>
      <c r="E211" s="90"/>
      <c r="F211" s="90"/>
      <c r="G211" s="90">
        <f t="shared" si="18"/>
        <v>-4294.34</v>
      </c>
      <c r="H211" s="91">
        <v>-18988.57</v>
      </c>
      <c r="I211" s="91"/>
      <c r="J211" s="91">
        <v>481.68</v>
      </c>
      <c r="K211" s="90">
        <v>0</v>
      </c>
      <c r="L211" s="103"/>
      <c r="M211" s="103">
        <v>0</v>
      </c>
      <c r="N211" s="103"/>
      <c r="O211" s="103"/>
      <c r="P211" s="91">
        <v>9.3699999999999992</v>
      </c>
      <c r="Q211" s="103"/>
      <c r="R211" s="91">
        <v>-88.25</v>
      </c>
      <c r="S211" s="103"/>
      <c r="T211" s="91">
        <v>605.04</v>
      </c>
      <c r="U211" s="103"/>
      <c r="V211" s="91">
        <v>0</v>
      </c>
      <c r="W211" s="103"/>
      <c r="X211" s="91"/>
      <c r="Y211" s="91"/>
      <c r="Z211" s="91">
        <f t="shared" si="21"/>
        <v>13686.39</v>
      </c>
      <c r="AA211" s="92">
        <v>13686.39</v>
      </c>
      <c r="AB211" s="92">
        <f t="shared" si="20"/>
        <v>0</v>
      </c>
    </row>
    <row r="212" spans="1:28" hidden="1" x14ac:dyDescent="0.2">
      <c r="A212" s="95">
        <v>39172</v>
      </c>
      <c r="B212" s="91">
        <v>-270</v>
      </c>
      <c r="C212" s="91">
        <v>-177593.78</v>
      </c>
      <c r="D212" s="90"/>
      <c r="E212" s="90"/>
      <c r="F212" s="90"/>
      <c r="G212" s="90">
        <f t="shared" si="18"/>
        <v>177323.78</v>
      </c>
      <c r="H212" s="91">
        <v>-80955.399999999994</v>
      </c>
      <c r="I212" s="91"/>
      <c r="J212" s="91">
        <v>-64.8</v>
      </c>
      <c r="K212" s="90">
        <v>-64.8</v>
      </c>
      <c r="L212" s="103"/>
      <c r="M212" s="103">
        <v>0</v>
      </c>
      <c r="N212" s="103"/>
      <c r="O212" s="103"/>
      <c r="P212" s="91">
        <v>4.2699999999999996</v>
      </c>
      <c r="Q212" s="103"/>
      <c r="R212" s="91">
        <v>-38.99</v>
      </c>
      <c r="S212" s="103"/>
      <c r="T212" s="91">
        <v>130.56</v>
      </c>
      <c r="U212" s="103"/>
      <c r="V212" s="91">
        <v>0</v>
      </c>
      <c r="W212" s="103"/>
      <c r="X212" s="91"/>
      <c r="Y212" s="91"/>
      <c r="Z212" s="91">
        <f t="shared" si="21"/>
        <v>258248.13999999998</v>
      </c>
      <c r="AA212" s="92">
        <v>258248.14</v>
      </c>
      <c r="AB212" s="92">
        <f t="shared" si="20"/>
        <v>0</v>
      </c>
    </row>
    <row r="213" spans="1:28" hidden="1" x14ac:dyDescent="0.2">
      <c r="A213" s="95">
        <v>39263</v>
      </c>
      <c r="B213" s="91">
        <v>0</v>
      </c>
      <c r="C213" s="91">
        <v>0</v>
      </c>
      <c r="D213" s="90"/>
      <c r="E213" s="90"/>
      <c r="F213" s="90"/>
      <c r="G213" s="90">
        <f t="shared" si="18"/>
        <v>0</v>
      </c>
      <c r="H213" s="91">
        <v>7067.66</v>
      </c>
      <c r="I213" s="91"/>
      <c r="J213" s="91">
        <v>0</v>
      </c>
      <c r="K213" s="90">
        <v>0</v>
      </c>
      <c r="L213" s="103"/>
      <c r="M213" s="103">
        <v>0</v>
      </c>
      <c r="N213" s="103"/>
      <c r="O213" s="103"/>
      <c r="P213" s="91">
        <v>12.39</v>
      </c>
      <c r="Q213" s="103"/>
      <c r="R213" s="91">
        <v>0</v>
      </c>
      <c r="S213" s="103"/>
      <c r="T213" s="91">
        <v>-3.59</v>
      </c>
      <c r="U213" s="103"/>
      <c r="V213" s="91">
        <v>0</v>
      </c>
      <c r="W213" s="103"/>
      <c r="X213" s="91"/>
      <c r="Y213" s="91"/>
      <c r="Z213" s="91">
        <f t="shared" si="21"/>
        <v>-7076.46</v>
      </c>
      <c r="AA213" s="92">
        <v>-7076.46</v>
      </c>
      <c r="AB213" s="92">
        <f t="shared" si="20"/>
        <v>0</v>
      </c>
    </row>
    <row r="214" spans="1:28" hidden="1" x14ac:dyDescent="0.2">
      <c r="A214" s="95">
        <v>39355</v>
      </c>
      <c r="B214" s="91">
        <v>7440</v>
      </c>
      <c r="C214" s="91">
        <v>0</v>
      </c>
      <c r="D214" s="90"/>
      <c r="E214" s="90"/>
      <c r="F214" s="90"/>
      <c r="G214" s="90">
        <f t="shared" si="18"/>
        <v>7440</v>
      </c>
      <c r="H214" s="91">
        <v>10216.57</v>
      </c>
      <c r="I214" s="91"/>
      <c r="J214" s="91"/>
      <c r="K214" s="90">
        <v>0</v>
      </c>
      <c r="L214" s="103"/>
      <c r="M214" s="103">
        <v>0</v>
      </c>
      <c r="N214" s="103"/>
      <c r="O214" s="103"/>
      <c r="P214" s="91">
        <v>-0.12</v>
      </c>
      <c r="Q214" s="103"/>
      <c r="R214" s="91">
        <v>0</v>
      </c>
      <c r="S214" s="103"/>
      <c r="T214" s="91">
        <v>0</v>
      </c>
      <c r="U214" s="103"/>
      <c r="V214" s="91">
        <v>0</v>
      </c>
      <c r="W214" s="103"/>
      <c r="X214" s="91"/>
      <c r="Y214" s="91"/>
      <c r="Z214" s="91">
        <f t="shared" si="21"/>
        <v>-2776.45</v>
      </c>
      <c r="AA214" s="92">
        <v>-2776.45</v>
      </c>
      <c r="AB214" s="92">
        <f t="shared" si="20"/>
        <v>0</v>
      </c>
    </row>
    <row r="215" spans="1:28" hidden="1" x14ac:dyDescent="0.2">
      <c r="A215" s="95">
        <v>39447</v>
      </c>
      <c r="B215" s="91">
        <v>-7726</v>
      </c>
      <c r="C215" s="91">
        <v>-25172.5</v>
      </c>
      <c r="D215" s="90">
        <v>0</v>
      </c>
      <c r="E215" s="90">
        <v>17446.5</v>
      </c>
      <c r="F215" s="90">
        <v>0</v>
      </c>
      <c r="G215" s="90">
        <f t="shared" si="18"/>
        <v>17446.5</v>
      </c>
      <c r="H215" s="91">
        <v>5833.07</v>
      </c>
      <c r="I215" s="91"/>
      <c r="J215" s="91">
        <v>-68.64</v>
      </c>
      <c r="K215" s="90">
        <v>-68.64</v>
      </c>
      <c r="L215" s="103"/>
      <c r="M215" s="103">
        <v>0</v>
      </c>
      <c r="N215" s="103"/>
      <c r="O215" s="103"/>
      <c r="P215" s="91">
        <v>1.05</v>
      </c>
      <c r="Q215" s="103"/>
      <c r="R215" s="91">
        <v>-26</v>
      </c>
      <c r="S215" s="103"/>
      <c r="T215" s="91">
        <v>-337.5</v>
      </c>
      <c r="U215" s="103"/>
      <c r="V215" s="91">
        <v>0</v>
      </c>
      <c r="W215" s="103"/>
      <c r="X215" s="91"/>
      <c r="Y215" s="91"/>
      <c r="Z215" s="91">
        <f t="shared" si="21"/>
        <v>12044.52</v>
      </c>
      <c r="AA215" s="92">
        <v>12044.52</v>
      </c>
      <c r="AB215" s="92">
        <f t="shared" si="20"/>
        <v>0</v>
      </c>
    </row>
    <row r="216" spans="1:28" hidden="1" x14ac:dyDescent="0.2">
      <c r="A216" s="95">
        <v>39538</v>
      </c>
      <c r="B216" s="91">
        <v>0</v>
      </c>
      <c r="C216" s="91">
        <v>-25172.51</v>
      </c>
      <c r="D216" s="90">
        <v>0</v>
      </c>
      <c r="E216" s="90">
        <v>25172.51</v>
      </c>
      <c r="F216" s="90">
        <v>0</v>
      </c>
      <c r="G216" s="90">
        <f t="shared" si="18"/>
        <v>25172.51</v>
      </c>
      <c r="H216" s="91">
        <v>49145.13</v>
      </c>
      <c r="I216" s="91"/>
      <c r="J216" s="91">
        <v>0</v>
      </c>
      <c r="K216" s="90">
        <v>0</v>
      </c>
      <c r="L216" s="103"/>
      <c r="M216" s="103">
        <v>0</v>
      </c>
      <c r="N216" s="103"/>
      <c r="O216" s="103"/>
      <c r="P216" s="91">
        <v>52.82</v>
      </c>
      <c r="Q216" s="103"/>
      <c r="R216" s="91">
        <v>0</v>
      </c>
      <c r="S216" s="103"/>
      <c r="T216" s="91">
        <v>0</v>
      </c>
      <c r="U216" s="103"/>
      <c r="V216" s="91">
        <v>0</v>
      </c>
      <c r="W216" s="103"/>
      <c r="X216" s="91"/>
      <c r="Y216" s="91"/>
      <c r="Z216" s="91">
        <f t="shared" si="21"/>
        <v>-24025.439999999999</v>
      </c>
      <c r="AA216" s="92">
        <v>-24025.439999999999</v>
      </c>
      <c r="AB216" s="92">
        <f t="shared" si="20"/>
        <v>0</v>
      </c>
    </row>
    <row r="217" spans="1:28" hidden="1" x14ac:dyDescent="0.2">
      <c r="A217" s="95">
        <v>39629</v>
      </c>
      <c r="B217" s="91">
        <v>0</v>
      </c>
      <c r="C217" s="91">
        <v>0</v>
      </c>
      <c r="D217" s="90">
        <v>0</v>
      </c>
      <c r="E217" s="90">
        <v>0</v>
      </c>
      <c r="F217" s="90">
        <v>0</v>
      </c>
      <c r="G217" s="90">
        <f t="shared" si="18"/>
        <v>0</v>
      </c>
      <c r="H217" s="91">
        <v>755</v>
      </c>
      <c r="I217" s="91"/>
      <c r="J217" s="91">
        <v>0</v>
      </c>
      <c r="K217" s="90">
        <v>0</v>
      </c>
      <c r="L217" s="103"/>
      <c r="M217" s="103">
        <v>0</v>
      </c>
      <c r="N217" s="103"/>
      <c r="O217" s="103"/>
      <c r="P217" s="91">
        <v>1.08</v>
      </c>
      <c r="Q217" s="103"/>
      <c r="R217" s="91">
        <v>0</v>
      </c>
      <c r="S217" s="103"/>
      <c r="T217" s="91">
        <v>0</v>
      </c>
      <c r="U217" s="103"/>
      <c r="V217" s="91">
        <v>0</v>
      </c>
      <c r="W217" s="103"/>
      <c r="X217" s="91"/>
      <c r="Y217" s="91"/>
      <c r="Z217" s="91">
        <f t="shared" si="21"/>
        <v>-756.08</v>
      </c>
      <c r="AA217" s="92">
        <v>-756.08</v>
      </c>
      <c r="AB217" s="92">
        <f t="shared" si="20"/>
        <v>0</v>
      </c>
    </row>
    <row r="218" spans="1:28" hidden="1" x14ac:dyDescent="0.2">
      <c r="A218" s="95">
        <v>39721</v>
      </c>
      <c r="B218" s="91">
        <v>-300</v>
      </c>
      <c r="C218" s="91">
        <v>-8690.84</v>
      </c>
      <c r="D218" s="90">
        <v>0</v>
      </c>
      <c r="E218" s="90">
        <v>8390.84</v>
      </c>
      <c r="F218" s="90">
        <v>0</v>
      </c>
      <c r="G218" s="90">
        <f t="shared" si="18"/>
        <v>8390.84</v>
      </c>
      <c r="H218" s="91">
        <v>3338.32</v>
      </c>
      <c r="I218" s="91"/>
      <c r="J218" s="91">
        <v>-72</v>
      </c>
      <c r="K218" s="90">
        <v>-72</v>
      </c>
      <c r="L218" s="103"/>
      <c r="M218" s="103">
        <v>0</v>
      </c>
      <c r="N218" s="103"/>
      <c r="O218" s="103"/>
      <c r="P218" s="91">
        <v>-5.9</v>
      </c>
      <c r="Q218" s="103"/>
      <c r="R218" s="91">
        <v>-15</v>
      </c>
      <c r="S218" s="103"/>
      <c r="T218" s="91">
        <v>-250</v>
      </c>
      <c r="U218" s="103"/>
      <c r="V218" s="91">
        <v>0</v>
      </c>
      <c r="W218" s="103"/>
      <c r="X218" s="91"/>
      <c r="Y218" s="91"/>
      <c r="Z218" s="91">
        <f t="shared" si="21"/>
        <v>5395.42</v>
      </c>
      <c r="AA218" s="92">
        <v>5395.42</v>
      </c>
      <c r="AB218" s="92">
        <f t="shared" si="20"/>
        <v>0</v>
      </c>
    </row>
    <row r="219" spans="1:28" hidden="1" x14ac:dyDescent="0.2">
      <c r="A219" s="95">
        <v>39813</v>
      </c>
      <c r="B219" s="91">
        <v>0</v>
      </c>
      <c r="C219" s="91">
        <v>-12586.25</v>
      </c>
      <c r="D219" s="90">
        <v>0</v>
      </c>
      <c r="E219" s="90">
        <f>B219-C219</f>
        <v>12586.25</v>
      </c>
      <c r="F219" s="90">
        <v>0</v>
      </c>
      <c r="G219" s="90">
        <f t="shared" si="18"/>
        <v>12586.25</v>
      </c>
      <c r="H219" s="91">
        <v>979.55</v>
      </c>
      <c r="I219" s="91"/>
      <c r="J219" s="91">
        <v>0</v>
      </c>
      <c r="K219" s="90">
        <v>0</v>
      </c>
      <c r="L219" s="103"/>
      <c r="M219" s="103">
        <v>0</v>
      </c>
      <c r="N219" s="103"/>
      <c r="O219" s="103"/>
      <c r="P219" s="91">
        <v>0.05</v>
      </c>
      <c r="Q219" s="103"/>
      <c r="R219" s="91">
        <v>0</v>
      </c>
      <c r="S219" s="103"/>
      <c r="T219" s="91">
        <v>0</v>
      </c>
      <c r="U219" s="103"/>
      <c r="V219" s="91">
        <v>0</v>
      </c>
      <c r="W219" s="103"/>
      <c r="X219" s="91"/>
      <c r="Y219" s="91"/>
      <c r="Z219" s="91">
        <f t="shared" si="21"/>
        <v>11606.650000000001</v>
      </c>
      <c r="AA219" s="92">
        <v>11606.65</v>
      </c>
      <c r="AB219" s="92">
        <f t="shared" si="20"/>
        <v>0</v>
      </c>
    </row>
    <row r="220" spans="1:28" hidden="1" x14ac:dyDescent="0.2">
      <c r="A220" s="95">
        <v>39903</v>
      </c>
      <c r="B220" s="91">
        <v>0</v>
      </c>
      <c r="C220" s="91">
        <v>-12586.25</v>
      </c>
      <c r="D220" s="90">
        <v>0</v>
      </c>
      <c r="E220" s="90">
        <f>B220-C220</f>
        <v>12586.25</v>
      </c>
      <c r="F220" s="90">
        <v>0</v>
      </c>
      <c r="G220" s="90">
        <f t="shared" si="18"/>
        <v>12586.25</v>
      </c>
      <c r="H220" s="91">
        <v>456.24</v>
      </c>
      <c r="I220" s="91"/>
      <c r="J220" s="91">
        <v>0</v>
      </c>
      <c r="K220" s="90"/>
      <c r="L220" s="103"/>
      <c r="M220" s="103">
        <v>0</v>
      </c>
      <c r="N220" s="103"/>
      <c r="O220" s="103"/>
      <c r="P220" s="91">
        <v>0</v>
      </c>
      <c r="Q220" s="103"/>
      <c r="R220" s="91">
        <v>0</v>
      </c>
      <c r="S220" s="103"/>
      <c r="T220" s="91">
        <v>0</v>
      </c>
      <c r="U220" s="103"/>
      <c r="V220" s="91">
        <v>0</v>
      </c>
      <c r="W220" s="103"/>
      <c r="X220" s="91"/>
      <c r="Y220" s="91"/>
      <c r="Z220" s="91">
        <f t="shared" si="21"/>
        <v>12130.01</v>
      </c>
      <c r="AA220" s="92">
        <v>12130.01</v>
      </c>
      <c r="AB220" s="92">
        <f t="shared" si="20"/>
        <v>0</v>
      </c>
    </row>
    <row r="221" spans="1:28" hidden="1" x14ac:dyDescent="0.2">
      <c r="A221" s="95">
        <v>39994</v>
      </c>
      <c r="B221" s="91">
        <v>0</v>
      </c>
      <c r="C221" s="91">
        <v>-7538.24</v>
      </c>
      <c r="D221" s="90">
        <v>0</v>
      </c>
      <c r="E221" s="90">
        <f>B221-C221</f>
        <v>7538.24</v>
      </c>
      <c r="F221" s="90">
        <v>0</v>
      </c>
      <c r="G221" s="90">
        <f t="shared" si="18"/>
        <v>7538.24</v>
      </c>
      <c r="H221" s="91">
        <v>73.010000000000005</v>
      </c>
      <c r="I221" s="91"/>
      <c r="J221" s="91">
        <v>0</v>
      </c>
      <c r="K221" s="90">
        <v>0</v>
      </c>
      <c r="L221" s="103"/>
      <c r="M221" s="103">
        <v>0</v>
      </c>
      <c r="N221" s="103"/>
      <c r="O221" s="103"/>
      <c r="P221" s="91">
        <v>2.15</v>
      </c>
      <c r="Q221" s="103"/>
      <c r="R221" s="91">
        <v>-387.83</v>
      </c>
      <c r="S221" s="103"/>
      <c r="T221" s="91">
        <v>-122.5</v>
      </c>
      <c r="U221" s="103"/>
      <c r="V221" s="91">
        <v>0</v>
      </c>
      <c r="W221" s="103"/>
      <c r="X221" s="91"/>
      <c r="Y221" s="91"/>
      <c r="Z221" s="91">
        <f t="shared" si="21"/>
        <v>7973.41</v>
      </c>
      <c r="AA221" s="92">
        <v>7973.41</v>
      </c>
      <c r="AB221" s="92">
        <f t="shared" si="20"/>
        <v>0</v>
      </c>
    </row>
    <row r="222" spans="1:28" hidden="1" x14ac:dyDescent="0.2">
      <c r="A222" s="95">
        <v>40086</v>
      </c>
      <c r="B222" s="91">
        <v>0</v>
      </c>
      <c r="C222" s="91">
        <v>-8390.83</v>
      </c>
      <c r="D222" s="90">
        <v>0</v>
      </c>
      <c r="E222" s="90">
        <f>B222-C222</f>
        <v>8390.83</v>
      </c>
      <c r="F222" s="90">
        <v>0</v>
      </c>
      <c r="G222" s="90">
        <f t="shared" si="18"/>
        <v>8390.83</v>
      </c>
      <c r="H222" s="91">
        <v>98.45</v>
      </c>
      <c r="I222" s="91"/>
      <c r="J222" s="91">
        <v>0</v>
      </c>
      <c r="K222" s="90">
        <v>0</v>
      </c>
      <c r="L222" s="103"/>
      <c r="M222" s="103">
        <v>0</v>
      </c>
      <c r="N222" s="103"/>
      <c r="O222" s="103"/>
      <c r="P222" s="91">
        <v>-0.02</v>
      </c>
      <c r="Q222" s="103"/>
      <c r="R222" s="91">
        <v>0</v>
      </c>
      <c r="S222" s="103"/>
      <c r="T222" s="91">
        <v>-22.5</v>
      </c>
      <c r="U222" s="103"/>
      <c r="V222" s="91">
        <v>0</v>
      </c>
      <c r="W222" s="103"/>
      <c r="X222" s="91"/>
      <c r="Y222" s="91"/>
      <c r="Z222" s="91">
        <f t="shared" si="21"/>
        <v>8314.9</v>
      </c>
      <c r="AA222" s="92">
        <v>8314.9</v>
      </c>
      <c r="AB222" s="92">
        <f t="shared" si="20"/>
        <v>0</v>
      </c>
    </row>
    <row r="223" spans="1:28" hidden="1" x14ac:dyDescent="0.2">
      <c r="A223" s="95">
        <v>40178</v>
      </c>
      <c r="B223" s="91">
        <v>0</v>
      </c>
      <c r="C223" s="91">
        <v>-16781.669999999998</v>
      </c>
      <c r="D223" s="90">
        <v>0</v>
      </c>
      <c r="E223" s="90">
        <f>B223-C223</f>
        <v>16781.669999999998</v>
      </c>
      <c r="F223" s="90">
        <v>0</v>
      </c>
      <c r="G223" s="90">
        <f t="shared" si="18"/>
        <v>16781.669999999998</v>
      </c>
      <c r="H223" s="91">
        <v>-70</v>
      </c>
      <c r="I223" s="91"/>
      <c r="J223" s="91">
        <v>0</v>
      </c>
      <c r="K223" s="90">
        <v>0</v>
      </c>
      <c r="L223" s="103"/>
      <c r="M223" s="103">
        <v>0</v>
      </c>
      <c r="N223" s="103"/>
      <c r="O223" s="103"/>
      <c r="P223" s="91">
        <v>0.33</v>
      </c>
      <c r="Q223" s="103"/>
      <c r="R223" s="91">
        <v>145</v>
      </c>
      <c r="S223" s="103"/>
      <c r="T223" s="91">
        <v>-12.5</v>
      </c>
      <c r="U223" s="103"/>
      <c r="V223" s="91">
        <v>0</v>
      </c>
      <c r="W223" s="103"/>
      <c r="X223" s="91"/>
      <c r="Y223" s="91"/>
      <c r="Z223" s="91">
        <f t="shared" si="21"/>
        <v>16718.839999999997</v>
      </c>
      <c r="AA223" s="92">
        <v>16718.84</v>
      </c>
      <c r="AB223" s="92">
        <f t="shared" si="20"/>
        <v>0</v>
      </c>
    </row>
    <row r="224" spans="1:28" hidden="1" x14ac:dyDescent="0.2">
      <c r="A224" s="140">
        <v>40268</v>
      </c>
      <c r="B224" s="91" t="s">
        <v>224</v>
      </c>
      <c r="C224" s="91"/>
      <c r="D224" s="90"/>
      <c r="E224" s="90"/>
      <c r="F224" s="90"/>
      <c r="G224" s="90"/>
      <c r="H224" s="91"/>
      <c r="I224" s="91"/>
      <c r="J224" s="91"/>
      <c r="K224" s="90"/>
      <c r="L224" s="103"/>
      <c r="M224" s="103"/>
      <c r="N224" s="103"/>
      <c r="O224" s="103"/>
      <c r="P224" s="91"/>
      <c r="Q224" s="103"/>
      <c r="R224" s="91"/>
      <c r="S224" s="103"/>
      <c r="T224" s="91"/>
      <c r="U224" s="103"/>
      <c r="V224" s="91"/>
      <c r="W224" s="103"/>
      <c r="X224" s="91"/>
      <c r="Y224" s="91"/>
      <c r="Z224" s="91"/>
      <c r="AA224" s="92"/>
      <c r="AB224" s="92"/>
    </row>
    <row r="225" spans="1:28" hidden="1" x14ac:dyDescent="0.2">
      <c r="A225" s="95">
        <v>40359</v>
      </c>
      <c r="B225" s="91"/>
      <c r="C225" s="91"/>
      <c r="D225" s="90"/>
      <c r="E225" s="90"/>
      <c r="F225" s="90"/>
      <c r="G225" s="90"/>
      <c r="H225" s="91"/>
      <c r="I225" s="91"/>
      <c r="J225" s="91"/>
      <c r="K225" s="90"/>
      <c r="L225" s="103"/>
      <c r="M225" s="103"/>
      <c r="N225" s="103"/>
      <c r="O225" s="103"/>
      <c r="P225" s="91"/>
      <c r="Q225" s="103"/>
      <c r="R225" s="91"/>
      <c r="S225" s="103"/>
      <c r="T225" s="91"/>
      <c r="U225" s="103"/>
      <c r="V225" s="91"/>
      <c r="W225" s="103"/>
      <c r="X225" s="91"/>
      <c r="Y225" s="91"/>
      <c r="Z225" s="91"/>
      <c r="AA225" s="92"/>
      <c r="AB225" s="92"/>
    </row>
    <row r="226" spans="1:28" hidden="1" x14ac:dyDescent="0.2">
      <c r="A226" s="95"/>
      <c r="B226" s="96">
        <f>SUM(B180:B223)</f>
        <v>18597247.079999994</v>
      </c>
      <c r="C226" s="96">
        <f>SUM(C180:C223)</f>
        <v>253048.11000000004</v>
      </c>
      <c r="D226" s="96">
        <f>SUM(D180:D223)</f>
        <v>0</v>
      </c>
      <c r="E226" s="96">
        <f>SUM(E180:E221)</f>
        <v>83720.59</v>
      </c>
      <c r="F226" s="96">
        <f t="shared" ref="F226:K226" si="22">SUM(F180:F223)</f>
        <v>0</v>
      </c>
      <c r="G226" s="96">
        <f t="shared" si="22"/>
        <v>18344198.970000003</v>
      </c>
      <c r="H226" s="96">
        <f t="shared" si="22"/>
        <v>8238539.8600000003</v>
      </c>
      <c r="I226" s="96">
        <f t="shared" si="22"/>
        <v>0</v>
      </c>
      <c r="J226" s="96">
        <f t="shared" si="22"/>
        <v>4083471.8299999996</v>
      </c>
      <c r="K226" s="96">
        <f t="shared" si="22"/>
        <v>4082990.1499999994</v>
      </c>
      <c r="L226" s="96">
        <f>K226/G226</f>
        <v>0.22257663889697762</v>
      </c>
      <c r="M226" s="96">
        <f>SUM(M180:M223)</f>
        <v>0</v>
      </c>
      <c r="N226" s="96">
        <f>M226/G226</f>
        <v>0</v>
      </c>
      <c r="O226" s="96"/>
      <c r="P226" s="96">
        <f>SUM(P180:P223)</f>
        <v>473470.44</v>
      </c>
      <c r="Q226" s="96">
        <f t="shared" ref="Q226:Y226" si="23">SUM(Q180:Q219)</f>
        <v>0</v>
      </c>
      <c r="R226" s="96">
        <f>SUM(R180:R223)</f>
        <v>994028.55999999994</v>
      </c>
      <c r="S226" s="96">
        <f t="shared" si="23"/>
        <v>0</v>
      </c>
      <c r="T226" s="96">
        <f>SUM(T180:T223)</f>
        <v>51761.010000000017</v>
      </c>
      <c r="U226" s="96">
        <f t="shared" si="23"/>
        <v>0</v>
      </c>
      <c r="V226" s="96">
        <f>SUM(V180:V223)</f>
        <v>128489.68</v>
      </c>
      <c r="W226" s="96">
        <f t="shared" si="23"/>
        <v>0</v>
      </c>
      <c r="X226" s="96">
        <f t="shared" si="23"/>
        <v>0</v>
      </c>
      <c r="Y226" s="96">
        <f t="shared" si="23"/>
        <v>0</v>
      </c>
      <c r="Z226" s="96">
        <f>SUM(Z180:Z223)</f>
        <v>4631416.9499999965</v>
      </c>
      <c r="AA226" s="92"/>
      <c r="AB226" s="92"/>
    </row>
    <row r="227" spans="1:28" hidden="1" x14ac:dyDescent="0.2">
      <c r="A227" s="98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100"/>
      <c r="M227" s="100"/>
      <c r="N227" s="100"/>
      <c r="O227" s="100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101">
        <f>ROUND(G226-H226-J226-P226-R226-T226+V226,2)</f>
        <v>4631416.95</v>
      </c>
      <c r="AA227" s="92"/>
      <c r="AB227" s="92"/>
    </row>
    <row r="228" spans="1:28" hidden="1" x14ac:dyDescent="0.2">
      <c r="A228" s="82" t="s">
        <v>125</v>
      </c>
      <c r="Z228" s="102" t="str">
        <f>IF(Z227=Z226,"Check","NO")</f>
        <v>Check</v>
      </c>
      <c r="AA228" s="92"/>
      <c r="AB228" s="92"/>
    </row>
    <row r="229" spans="1:28" ht="38.25" hidden="1" x14ac:dyDescent="0.2">
      <c r="A229" s="86" t="s">
        <v>143</v>
      </c>
      <c r="B229" s="87" t="s">
        <v>144</v>
      </c>
      <c r="C229" s="87" t="s">
        <v>145</v>
      </c>
      <c r="D229" s="87" t="s">
        <v>170</v>
      </c>
      <c r="E229" s="87" t="s">
        <v>171</v>
      </c>
      <c r="F229" s="87" t="s">
        <v>172</v>
      </c>
      <c r="G229" s="87" t="s">
        <v>146</v>
      </c>
      <c r="H229" s="87" t="s">
        <v>147</v>
      </c>
      <c r="I229" s="87" t="s">
        <v>148</v>
      </c>
      <c r="J229" s="87" t="s">
        <v>169</v>
      </c>
      <c r="K229" s="87" t="s">
        <v>136</v>
      </c>
      <c r="L229" s="87" t="s">
        <v>149</v>
      </c>
      <c r="M229" s="87" t="s">
        <v>163</v>
      </c>
      <c r="N229" s="87" t="s">
        <v>164</v>
      </c>
      <c r="O229" s="87" t="s">
        <v>207</v>
      </c>
      <c r="P229" s="87" t="s">
        <v>150</v>
      </c>
      <c r="Q229" s="87" t="s">
        <v>151</v>
      </c>
      <c r="R229" s="87" t="s">
        <v>152</v>
      </c>
      <c r="S229" s="87" t="s">
        <v>153</v>
      </c>
      <c r="T229" s="87" t="s">
        <v>154</v>
      </c>
      <c r="U229" s="87" t="s">
        <v>155</v>
      </c>
      <c r="V229" s="87" t="s">
        <v>156</v>
      </c>
      <c r="W229" s="87" t="s">
        <v>157</v>
      </c>
      <c r="X229" s="87" t="s">
        <v>165</v>
      </c>
      <c r="Y229" s="87" t="s">
        <v>166</v>
      </c>
      <c r="Z229" s="87" t="s">
        <v>158</v>
      </c>
      <c r="AA229" s="87" t="s">
        <v>173</v>
      </c>
      <c r="AB229" s="87" t="s">
        <v>175</v>
      </c>
    </row>
    <row r="230" spans="1:28" hidden="1" x14ac:dyDescent="0.2">
      <c r="A230" s="88">
        <v>36616</v>
      </c>
      <c r="B230" s="89">
        <v>3916028.46</v>
      </c>
      <c r="C230" s="89">
        <v>0</v>
      </c>
      <c r="D230" s="89"/>
      <c r="E230" s="89"/>
      <c r="F230" s="89"/>
      <c r="G230" s="90">
        <f>B230-C230</f>
        <v>3916028.46</v>
      </c>
      <c r="H230" s="91">
        <v>4199.1899999999996</v>
      </c>
      <c r="I230" s="91"/>
      <c r="J230" s="91">
        <f>K230+M230</f>
        <v>835127.06</v>
      </c>
      <c r="K230" s="90">
        <v>835127.06</v>
      </c>
      <c r="L230" s="103"/>
      <c r="M230" s="103">
        <v>0</v>
      </c>
      <c r="N230" s="103"/>
      <c r="O230" s="103"/>
      <c r="P230" s="91">
        <v>19033.939999999999</v>
      </c>
      <c r="Q230" s="103"/>
      <c r="R230" s="91">
        <v>225090.95</v>
      </c>
      <c r="S230" s="103"/>
      <c r="T230" s="91">
        <v>0</v>
      </c>
      <c r="U230" s="103"/>
      <c r="V230" s="91">
        <v>16837.150000000001</v>
      </c>
      <c r="W230" s="103"/>
      <c r="X230" s="89"/>
      <c r="Y230" s="89"/>
      <c r="Z230" s="91">
        <f>G230-H230-J230-P230-R230-T230+V230</f>
        <v>2849414.4699999997</v>
      </c>
      <c r="AA230" s="92">
        <v>2849414.47</v>
      </c>
      <c r="AB230" s="92">
        <f t="shared" si="20"/>
        <v>0</v>
      </c>
    </row>
    <row r="231" spans="1:28" hidden="1" x14ac:dyDescent="0.2">
      <c r="A231" s="93">
        <v>36707</v>
      </c>
      <c r="B231" s="94">
        <v>4744107.1100000003</v>
      </c>
      <c r="C231" s="94">
        <v>0</v>
      </c>
      <c r="D231" s="89"/>
      <c r="E231" s="89"/>
      <c r="F231" s="89"/>
      <c r="G231" s="90">
        <f t="shared" ref="G231:G272" si="24">B231-C231</f>
        <v>4744107.1100000003</v>
      </c>
      <c r="H231" s="91">
        <v>98867.32</v>
      </c>
      <c r="I231" s="91"/>
      <c r="J231" s="91">
        <f t="shared" ref="J231:J260" si="25">K231+M231</f>
        <v>1019914.51</v>
      </c>
      <c r="K231" s="90">
        <v>1019914.51</v>
      </c>
      <c r="L231" s="103"/>
      <c r="M231" s="103">
        <v>0</v>
      </c>
      <c r="N231" s="103"/>
      <c r="O231" s="103"/>
      <c r="P231" s="91">
        <v>34234.019999999997</v>
      </c>
      <c r="Q231" s="103"/>
      <c r="R231" s="91">
        <v>259104.35</v>
      </c>
      <c r="S231" s="103"/>
      <c r="T231" s="91">
        <v>0</v>
      </c>
      <c r="U231" s="103"/>
      <c r="V231" s="91">
        <v>2410.9899999999998</v>
      </c>
      <c r="W231" s="103"/>
      <c r="X231" s="94"/>
      <c r="Y231" s="94"/>
      <c r="Z231" s="91">
        <f t="shared" ref="Z231:Z272" si="26">G231-H231-J231-P231-R231-T231+V231</f>
        <v>3334397.9000000004</v>
      </c>
      <c r="AA231" s="92">
        <v>3334397.9</v>
      </c>
      <c r="AB231" s="92">
        <f t="shared" si="20"/>
        <v>0</v>
      </c>
    </row>
    <row r="232" spans="1:28" hidden="1" x14ac:dyDescent="0.2">
      <c r="A232" s="93">
        <v>36799</v>
      </c>
      <c r="B232" s="94">
        <v>5791587.2400000002</v>
      </c>
      <c r="C232" s="94">
        <v>0</v>
      </c>
      <c r="D232" s="89"/>
      <c r="E232" s="89"/>
      <c r="F232" s="89"/>
      <c r="G232" s="90">
        <f t="shared" si="24"/>
        <v>5791587.2400000002</v>
      </c>
      <c r="H232" s="91">
        <v>282461.09000000003</v>
      </c>
      <c r="I232" s="91"/>
      <c r="J232" s="91">
        <f t="shared" si="25"/>
        <v>1596329.64</v>
      </c>
      <c r="K232" s="90">
        <v>1162036.97</v>
      </c>
      <c r="L232" s="103"/>
      <c r="M232" s="83">
        <v>434292.67</v>
      </c>
      <c r="N232" s="103"/>
      <c r="O232" s="103"/>
      <c r="P232" s="91">
        <v>308894.76</v>
      </c>
      <c r="Q232" s="103"/>
      <c r="R232" s="91">
        <v>296935.84999999998</v>
      </c>
      <c r="S232" s="103"/>
      <c r="T232" s="91">
        <v>1062.75</v>
      </c>
      <c r="U232" s="103"/>
      <c r="V232" s="91">
        <v>20756.669999999998</v>
      </c>
      <c r="W232" s="103"/>
      <c r="X232" s="94"/>
      <c r="Y232" s="94"/>
      <c r="Z232" s="91">
        <f t="shared" si="26"/>
        <v>3326659.8200000008</v>
      </c>
      <c r="AA232" s="92">
        <v>3476025.5</v>
      </c>
      <c r="AB232" s="92">
        <f t="shared" si="20"/>
        <v>-149365.67999999924</v>
      </c>
    </row>
    <row r="233" spans="1:28" hidden="1" x14ac:dyDescent="0.2">
      <c r="A233" s="93">
        <v>36891</v>
      </c>
      <c r="B233" s="94">
        <v>5750677.1199999992</v>
      </c>
      <c r="C233" s="94">
        <v>1396</v>
      </c>
      <c r="D233" s="89"/>
      <c r="E233" s="89"/>
      <c r="F233" s="89"/>
      <c r="G233" s="90">
        <f t="shared" si="24"/>
        <v>5749281.1199999992</v>
      </c>
      <c r="H233" s="91">
        <v>654190.48</v>
      </c>
      <c r="I233" s="91"/>
      <c r="J233" s="91">
        <f t="shared" si="25"/>
        <v>1702055.01</v>
      </c>
      <c r="K233" s="90">
        <v>1131731.71</v>
      </c>
      <c r="L233" s="103"/>
      <c r="M233" s="83">
        <v>570323.30000000005</v>
      </c>
      <c r="N233" s="103"/>
      <c r="O233" s="103"/>
      <c r="P233" s="91">
        <v>314937.76</v>
      </c>
      <c r="Q233" s="103"/>
      <c r="R233" s="91">
        <v>307726.25</v>
      </c>
      <c r="S233" s="103"/>
      <c r="T233" s="91">
        <v>8613.4</v>
      </c>
      <c r="U233" s="103"/>
      <c r="V233" s="91">
        <v>44849.87</v>
      </c>
      <c r="W233" s="103"/>
      <c r="X233" s="94"/>
      <c r="Y233" s="94"/>
      <c r="Z233" s="91">
        <f t="shared" si="26"/>
        <v>2806608.0899999994</v>
      </c>
      <c r="AA233" s="92">
        <v>3047408.39</v>
      </c>
      <c r="AB233" s="92">
        <f t="shared" si="20"/>
        <v>-240800.30000000075</v>
      </c>
    </row>
    <row r="234" spans="1:28" hidden="1" x14ac:dyDescent="0.2">
      <c r="A234" s="88">
        <v>36981</v>
      </c>
      <c r="B234" s="89">
        <v>2503380.2599999998</v>
      </c>
      <c r="C234" s="89">
        <v>11245</v>
      </c>
      <c r="D234" s="89"/>
      <c r="E234" s="89"/>
      <c r="F234" s="89"/>
      <c r="G234" s="90">
        <f t="shared" si="24"/>
        <v>2492135.2599999998</v>
      </c>
      <c r="H234" s="91">
        <v>898522.21</v>
      </c>
      <c r="I234" s="91"/>
      <c r="J234" s="91">
        <f t="shared" si="25"/>
        <v>574591.44999999995</v>
      </c>
      <c r="K234" s="90">
        <v>494828.56</v>
      </c>
      <c r="L234" s="103"/>
      <c r="M234" s="83">
        <v>79762.89</v>
      </c>
      <c r="N234" s="103"/>
      <c r="O234" s="103"/>
      <c r="P234" s="91">
        <v>41413.79</v>
      </c>
      <c r="Q234" s="103"/>
      <c r="R234" s="91">
        <v>109101.75</v>
      </c>
      <c r="S234" s="103"/>
      <c r="T234" s="91">
        <v>40915.589999999997</v>
      </c>
      <c r="U234" s="103"/>
      <c r="V234" s="91">
        <v>0</v>
      </c>
      <c r="W234" s="103"/>
      <c r="X234" s="89"/>
      <c r="Y234" s="89"/>
      <c r="Z234" s="91">
        <f t="shared" si="26"/>
        <v>827590.46999999986</v>
      </c>
      <c r="AA234" s="92">
        <v>853836.36</v>
      </c>
      <c r="AB234" s="92">
        <f t="shared" si="20"/>
        <v>-26245.89000000013</v>
      </c>
    </row>
    <row r="235" spans="1:28" hidden="1" x14ac:dyDescent="0.2">
      <c r="A235" s="93">
        <v>37072</v>
      </c>
      <c r="B235" s="94">
        <v>498491.28</v>
      </c>
      <c r="C235" s="94">
        <v>9843</v>
      </c>
      <c r="D235" s="89"/>
      <c r="E235" s="89"/>
      <c r="F235" s="89"/>
      <c r="G235" s="90">
        <f t="shared" si="24"/>
        <v>488648.28</v>
      </c>
      <c r="H235" s="91">
        <v>1229240.8500000001</v>
      </c>
      <c r="I235" s="91"/>
      <c r="J235" s="91">
        <f t="shared" si="25"/>
        <v>95476.010000000009</v>
      </c>
      <c r="K235" s="90">
        <v>110711.05</v>
      </c>
      <c r="L235" s="103"/>
      <c r="M235" s="83">
        <v>-15235.04</v>
      </c>
      <c r="N235" s="103"/>
      <c r="O235" s="103"/>
      <c r="P235" s="91">
        <v>9407.24</v>
      </c>
      <c r="Q235" s="103"/>
      <c r="R235" s="91">
        <v>9754.84</v>
      </c>
      <c r="S235" s="103"/>
      <c r="T235" s="91">
        <v>68629.63</v>
      </c>
      <c r="U235" s="103"/>
      <c r="V235" s="91">
        <v>0</v>
      </c>
      <c r="W235" s="103"/>
      <c r="X235" s="94"/>
      <c r="Y235" s="94"/>
      <c r="Z235" s="91">
        <f t="shared" si="26"/>
        <v>-923860.29</v>
      </c>
      <c r="AA235" s="92">
        <v>-926950.33</v>
      </c>
      <c r="AB235" s="92">
        <f t="shared" si="20"/>
        <v>3090.0399999999208</v>
      </c>
    </row>
    <row r="236" spans="1:28" hidden="1" x14ac:dyDescent="0.2">
      <c r="A236" s="93">
        <v>37164</v>
      </c>
      <c r="B236" s="94">
        <v>1571465.1</v>
      </c>
      <c r="C236" s="94">
        <v>182606.01</v>
      </c>
      <c r="D236" s="89"/>
      <c r="E236" s="89"/>
      <c r="F236" s="89"/>
      <c r="G236" s="90">
        <f t="shared" si="24"/>
        <v>1388859.09</v>
      </c>
      <c r="H236" s="91">
        <v>1200885.53</v>
      </c>
      <c r="I236" s="91"/>
      <c r="J236" s="91">
        <f t="shared" si="25"/>
        <v>334653.96999999997</v>
      </c>
      <c r="K236" s="90">
        <v>343869.48</v>
      </c>
      <c r="L236" s="103"/>
      <c r="M236" s="83">
        <v>-9215.51</v>
      </c>
      <c r="N236" s="103"/>
      <c r="O236" s="103"/>
      <c r="P236" s="91">
        <v>9111.56</v>
      </c>
      <c r="Q236" s="103"/>
      <c r="R236" s="91">
        <v>47000.25</v>
      </c>
      <c r="S236" s="103"/>
      <c r="T236" s="91">
        <v>98032.14</v>
      </c>
      <c r="U236" s="103"/>
      <c r="V236" s="91">
        <v>0</v>
      </c>
      <c r="W236" s="103"/>
      <c r="X236" s="94"/>
      <c r="Y236" s="94"/>
      <c r="Z236" s="91">
        <f t="shared" si="26"/>
        <v>-300824.35999999993</v>
      </c>
      <c r="AA236" s="92">
        <v>-304018.87</v>
      </c>
      <c r="AB236" s="92">
        <f t="shared" si="20"/>
        <v>3194.5100000000675</v>
      </c>
    </row>
    <row r="237" spans="1:28" hidden="1" x14ac:dyDescent="0.2">
      <c r="A237" s="93">
        <v>37256</v>
      </c>
      <c r="B237" s="94">
        <v>62661.43</v>
      </c>
      <c r="C237" s="94">
        <v>118601.5</v>
      </c>
      <c r="D237" s="89"/>
      <c r="E237" s="89"/>
      <c r="F237" s="89"/>
      <c r="G237" s="90">
        <f t="shared" si="24"/>
        <v>-55940.07</v>
      </c>
      <c r="H237" s="91">
        <v>1380105.98</v>
      </c>
      <c r="I237" s="91"/>
      <c r="J237" s="91">
        <f t="shared" si="25"/>
        <v>9161.0300000000079</v>
      </c>
      <c r="K237" s="90">
        <v>8452.3400000000074</v>
      </c>
      <c r="L237" s="103"/>
      <c r="M237" s="83">
        <v>708.69</v>
      </c>
      <c r="N237" s="103"/>
      <c r="O237" s="103"/>
      <c r="P237" s="91">
        <v>7486.4</v>
      </c>
      <c r="Q237" s="103"/>
      <c r="R237" s="91">
        <v>4525.3500000000004</v>
      </c>
      <c r="S237" s="103"/>
      <c r="T237" s="91">
        <v>100616.32000000001</v>
      </c>
      <c r="U237" s="103"/>
      <c r="V237" s="91">
        <v>0</v>
      </c>
      <c r="W237" s="103"/>
      <c r="X237" s="94"/>
      <c r="Y237" s="94"/>
      <c r="Z237" s="91">
        <f t="shared" si="26"/>
        <v>-1557835.1500000001</v>
      </c>
      <c r="AA237" s="92">
        <v>-1564149.46</v>
      </c>
      <c r="AB237" s="92">
        <f t="shared" si="20"/>
        <v>6314.309999999823</v>
      </c>
    </row>
    <row r="238" spans="1:28" hidden="1" x14ac:dyDescent="0.2">
      <c r="A238" s="93">
        <v>37346</v>
      </c>
      <c r="B238" s="94">
        <v>224439</v>
      </c>
      <c r="C238" s="94">
        <v>264118.15000000002</v>
      </c>
      <c r="D238" s="89"/>
      <c r="E238" s="89"/>
      <c r="F238" s="89"/>
      <c r="G238" s="90">
        <f t="shared" si="24"/>
        <v>-39679.150000000023</v>
      </c>
      <c r="H238" s="91">
        <v>912300.71</v>
      </c>
      <c r="I238" s="91"/>
      <c r="J238" s="91">
        <f t="shared" si="25"/>
        <v>43888.62</v>
      </c>
      <c r="K238" s="90">
        <v>52235.62</v>
      </c>
      <c r="L238" s="103"/>
      <c r="M238" s="83">
        <v>-8347</v>
      </c>
      <c r="N238" s="103"/>
      <c r="O238" s="103"/>
      <c r="P238" s="91">
        <v>-1</v>
      </c>
      <c r="Q238" s="103"/>
      <c r="R238" s="91">
        <v>1283.3</v>
      </c>
      <c r="S238" s="103"/>
      <c r="T238" s="91">
        <v>112266.54</v>
      </c>
      <c r="U238" s="103"/>
      <c r="V238" s="91">
        <v>0</v>
      </c>
      <c r="W238" s="103"/>
      <c r="X238" s="94"/>
      <c r="Y238" s="94"/>
      <c r="Z238" s="91">
        <f t="shared" si="26"/>
        <v>-1109417.32</v>
      </c>
      <c r="AA238" s="92">
        <v>-1118497.52</v>
      </c>
      <c r="AB238" s="92">
        <f t="shared" si="20"/>
        <v>9080.1999999999534</v>
      </c>
    </row>
    <row r="239" spans="1:28" hidden="1" x14ac:dyDescent="0.2">
      <c r="A239" s="93">
        <v>37437</v>
      </c>
      <c r="B239" s="94">
        <v>27287</v>
      </c>
      <c r="C239" s="94">
        <v>179775.32</v>
      </c>
      <c r="D239" s="89"/>
      <c r="E239" s="89"/>
      <c r="F239" s="89"/>
      <c r="G239" s="90">
        <f t="shared" si="24"/>
        <v>-152488.32000000001</v>
      </c>
      <c r="H239" s="91">
        <v>1003238.58</v>
      </c>
      <c r="I239" s="91"/>
      <c r="J239" s="91">
        <f t="shared" si="25"/>
        <v>10343.459999999999</v>
      </c>
      <c r="K239" s="90">
        <v>5160.46</v>
      </c>
      <c r="L239" s="103"/>
      <c r="M239" s="83">
        <v>5183</v>
      </c>
      <c r="N239" s="103"/>
      <c r="O239" s="103"/>
      <c r="P239" s="91">
        <v>-543568.82999999996</v>
      </c>
      <c r="Q239" s="103"/>
      <c r="R239" s="91">
        <v>-6107.91</v>
      </c>
      <c r="S239" s="103"/>
      <c r="T239" s="91">
        <v>74179.55</v>
      </c>
      <c r="U239" s="103"/>
      <c r="V239" s="91">
        <v>0</v>
      </c>
      <c r="W239" s="103"/>
      <c r="X239" s="94"/>
      <c r="Y239" s="94"/>
      <c r="Z239" s="91">
        <f t="shared" si="26"/>
        <v>-690573.16999999993</v>
      </c>
      <c r="AA239" s="92">
        <v>-684829.17</v>
      </c>
      <c r="AB239" s="92">
        <f t="shared" si="20"/>
        <v>-5743.9999999998836</v>
      </c>
    </row>
    <row r="240" spans="1:28" hidden="1" x14ac:dyDescent="0.2">
      <c r="A240" s="93">
        <v>37620</v>
      </c>
      <c r="B240" s="104">
        <v>8697</v>
      </c>
      <c r="C240" s="94">
        <v>162019.53</v>
      </c>
      <c r="D240" s="89"/>
      <c r="E240" s="89"/>
      <c r="F240" s="89"/>
      <c r="G240" s="90">
        <f t="shared" si="24"/>
        <v>-153322.53</v>
      </c>
      <c r="H240" s="91">
        <v>900907.94</v>
      </c>
      <c r="I240" s="91"/>
      <c r="J240" s="91">
        <f t="shared" si="25"/>
        <v>882.56</v>
      </c>
      <c r="K240" s="90">
        <v>1189.56</v>
      </c>
      <c r="L240" s="103"/>
      <c r="M240" s="83">
        <v>-307</v>
      </c>
      <c r="N240" s="103"/>
      <c r="O240" s="103"/>
      <c r="P240" s="91">
        <v>0</v>
      </c>
      <c r="Q240" s="103"/>
      <c r="R240" s="91">
        <v>-3739.19</v>
      </c>
      <c r="S240" s="103"/>
      <c r="T240" s="91">
        <v>54887.42</v>
      </c>
      <c r="U240" s="103"/>
      <c r="V240" s="91">
        <v>0</v>
      </c>
      <c r="W240" s="103"/>
      <c r="X240" s="94"/>
      <c r="Y240" s="94"/>
      <c r="Z240" s="91">
        <f t="shared" si="26"/>
        <v>-1106261.26</v>
      </c>
      <c r="AA240" s="92">
        <v>-1106204.26</v>
      </c>
      <c r="AB240" s="92">
        <f t="shared" si="20"/>
        <v>-57</v>
      </c>
    </row>
    <row r="241" spans="1:28" hidden="1" x14ac:dyDescent="0.2">
      <c r="A241" s="93">
        <v>37621</v>
      </c>
      <c r="B241" s="94">
        <v>23153</v>
      </c>
      <c r="C241" s="94">
        <v>-7069.49</v>
      </c>
      <c r="D241" s="89"/>
      <c r="E241" s="89"/>
      <c r="F241" s="89"/>
      <c r="G241" s="90">
        <f t="shared" si="24"/>
        <v>30222.489999999998</v>
      </c>
      <c r="H241" s="91">
        <v>987939.82</v>
      </c>
      <c r="I241" s="91"/>
      <c r="J241" s="91">
        <f t="shared" si="25"/>
        <v>4615.8599999999997</v>
      </c>
      <c r="K241" s="90">
        <v>4722.8599999999997</v>
      </c>
      <c r="L241" s="103"/>
      <c r="M241" s="83">
        <v>-107</v>
      </c>
      <c r="N241" s="103"/>
      <c r="O241" s="103"/>
      <c r="P241" s="91">
        <v>0</v>
      </c>
      <c r="Q241" s="103"/>
      <c r="R241" s="91">
        <v>1498.3</v>
      </c>
      <c r="S241" s="103"/>
      <c r="T241" s="91">
        <v>59886.66</v>
      </c>
      <c r="U241" s="103"/>
      <c r="V241" s="91">
        <v>0</v>
      </c>
      <c r="W241" s="103"/>
      <c r="X241" s="94"/>
      <c r="Y241" s="94"/>
      <c r="Z241" s="91">
        <f t="shared" si="26"/>
        <v>-1023718.15</v>
      </c>
      <c r="AA241" s="92">
        <v>-1023718.15</v>
      </c>
      <c r="AB241" s="92">
        <f t="shared" si="20"/>
        <v>0</v>
      </c>
    </row>
    <row r="242" spans="1:28" hidden="1" x14ac:dyDescent="0.2">
      <c r="A242" s="95">
        <v>37711</v>
      </c>
      <c r="B242" s="105">
        <v>-12536</v>
      </c>
      <c r="C242" s="91">
        <v>-10961.25</v>
      </c>
      <c r="D242" s="90"/>
      <c r="E242" s="90"/>
      <c r="F242" s="90"/>
      <c r="G242" s="90">
        <f t="shared" si="24"/>
        <v>-1574.75</v>
      </c>
      <c r="H242" s="91">
        <v>816240.57</v>
      </c>
      <c r="I242" s="91"/>
      <c r="J242" s="91">
        <f t="shared" si="25"/>
        <v>-2089.8599999999997</v>
      </c>
      <c r="K242" s="90">
        <v>-1915.86</v>
      </c>
      <c r="L242" s="103"/>
      <c r="M242" s="83">
        <v>-174</v>
      </c>
      <c r="N242" s="103"/>
      <c r="O242" s="103"/>
      <c r="P242" s="91">
        <v>0</v>
      </c>
      <c r="Q242" s="103"/>
      <c r="R242" s="91">
        <v>-115.35</v>
      </c>
      <c r="S242" s="103"/>
      <c r="T242" s="91">
        <v>40816.980000000003</v>
      </c>
      <c r="U242" s="103"/>
      <c r="V242" s="91">
        <v>0</v>
      </c>
      <c r="W242" s="103"/>
      <c r="X242" s="91"/>
      <c r="Y242" s="91"/>
      <c r="Z242" s="91">
        <f t="shared" si="26"/>
        <v>-856427.09</v>
      </c>
      <c r="AA242" s="92">
        <v>-856366.09</v>
      </c>
      <c r="AB242" s="92">
        <f t="shared" si="20"/>
        <v>-61</v>
      </c>
    </row>
    <row r="243" spans="1:28" hidden="1" x14ac:dyDescent="0.2">
      <c r="A243" s="95">
        <v>37802</v>
      </c>
      <c r="B243" s="91">
        <v>-1497</v>
      </c>
      <c r="C243" s="91">
        <v>3827.2</v>
      </c>
      <c r="D243" s="90"/>
      <c r="E243" s="90"/>
      <c r="F243" s="90"/>
      <c r="G243" s="90">
        <f t="shared" si="24"/>
        <v>-5324.2</v>
      </c>
      <c r="H243" s="91">
        <v>606897.30000000005</v>
      </c>
      <c r="I243" s="91"/>
      <c r="J243" s="91">
        <f t="shared" si="25"/>
        <v>1504.5</v>
      </c>
      <c r="K243" s="90">
        <v>1504.5</v>
      </c>
      <c r="L243" s="103"/>
      <c r="M243" s="83">
        <v>0</v>
      </c>
      <c r="N243" s="103"/>
      <c r="O243" s="103"/>
      <c r="P243" s="91">
        <v>0</v>
      </c>
      <c r="Q243" s="103"/>
      <c r="R243" s="91">
        <v>252.6</v>
      </c>
      <c r="S243" s="103"/>
      <c r="T243" s="91">
        <v>35763.07</v>
      </c>
      <c r="U243" s="103"/>
      <c r="V243" s="91">
        <v>0</v>
      </c>
      <c r="W243" s="103"/>
      <c r="X243" s="91"/>
      <c r="Y243" s="91"/>
      <c r="Z243" s="91">
        <f t="shared" si="26"/>
        <v>-649741.66999999993</v>
      </c>
      <c r="AA243" s="92">
        <v>-649742.27</v>
      </c>
      <c r="AB243" s="92">
        <f t="shared" si="20"/>
        <v>0.60000000009313226</v>
      </c>
    </row>
    <row r="244" spans="1:28" hidden="1" x14ac:dyDescent="0.2">
      <c r="A244" s="95">
        <v>37894</v>
      </c>
      <c r="B244" s="91">
        <v>25454</v>
      </c>
      <c r="C244" s="91">
        <v>-7167.35</v>
      </c>
      <c r="D244" s="90"/>
      <c r="E244" s="90"/>
      <c r="F244" s="90"/>
      <c r="G244" s="90">
        <f t="shared" si="24"/>
        <v>32621.35</v>
      </c>
      <c r="H244" s="91">
        <v>736903.75</v>
      </c>
      <c r="I244" s="91"/>
      <c r="J244" s="91">
        <f t="shared" si="25"/>
        <v>10849.22</v>
      </c>
      <c r="K244" s="90">
        <v>10635.22</v>
      </c>
      <c r="L244" s="103"/>
      <c r="M244" s="83">
        <v>214</v>
      </c>
      <c r="N244" s="103"/>
      <c r="O244" s="103"/>
      <c r="P244" s="91">
        <v>0</v>
      </c>
      <c r="Q244" s="103"/>
      <c r="R244" s="91">
        <v>1242.46</v>
      </c>
      <c r="S244" s="103"/>
      <c r="T244" s="91">
        <v>29136.49</v>
      </c>
      <c r="U244" s="103"/>
      <c r="V244" s="91">
        <v>0</v>
      </c>
      <c r="W244" s="103"/>
      <c r="X244" s="91"/>
      <c r="Y244" s="91"/>
      <c r="Z244" s="91">
        <f t="shared" si="26"/>
        <v>-745510.57</v>
      </c>
      <c r="AA244" s="92">
        <v>-745510.57</v>
      </c>
      <c r="AB244" s="92">
        <f t="shared" si="20"/>
        <v>0</v>
      </c>
    </row>
    <row r="245" spans="1:28" hidden="1" x14ac:dyDescent="0.2">
      <c r="A245" s="95">
        <v>37986</v>
      </c>
      <c r="B245" s="91">
        <v>287911</v>
      </c>
      <c r="C245" s="91">
        <v>5076.32</v>
      </c>
      <c r="D245" s="90"/>
      <c r="E245" s="90"/>
      <c r="F245" s="90"/>
      <c r="G245" s="90">
        <f t="shared" si="24"/>
        <v>282834.68</v>
      </c>
      <c r="H245" s="91">
        <v>354405.47</v>
      </c>
      <c r="I245" s="91"/>
      <c r="J245" s="91">
        <f t="shared" si="25"/>
        <v>69057.100000000006</v>
      </c>
      <c r="K245" s="90">
        <v>68950.100000000006</v>
      </c>
      <c r="L245" s="103"/>
      <c r="M245" s="83">
        <v>107</v>
      </c>
      <c r="N245" s="103"/>
      <c r="O245" s="103"/>
      <c r="P245" s="91">
        <v>0</v>
      </c>
      <c r="Q245" s="103"/>
      <c r="R245" s="91">
        <v>9256.9500000000007</v>
      </c>
      <c r="S245" s="103"/>
      <c r="T245" s="91">
        <v>21117.56</v>
      </c>
      <c r="U245" s="103"/>
      <c r="V245" s="91">
        <v>0</v>
      </c>
      <c r="W245" s="103"/>
      <c r="X245" s="91"/>
      <c r="Y245" s="91"/>
      <c r="Z245" s="91">
        <f t="shared" si="26"/>
        <v>-171002.4</v>
      </c>
      <c r="AA245" s="92">
        <v>-171002.4</v>
      </c>
      <c r="AB245" s="92">
        <f t="shared" si="20"/>
        <v>0</v>
      </c>
    </row>
    <row r="246" spans="1:28" hidden="1" x14ac:dyDescent="0.2">
      <c r="A246" s="95">
        <v>38077</v>
      </c>
      <c r="B246" s="91">
        <v>146911</v>
      </c>
      <c r="C246" s="91">
        <v>2947.56</v>
      </c>
      <c r="D246" s="90"/>
      <c r="E246" s="90"/>
      <c r="F246" s="90"/>
      <c r="G246" s="90">
        <f t="shared" si="24"/>
        <v>143963.44</v>
      </c>
      <c r="H246" s="91">
        <v>693801.12</v>
      </c>
      <c r="I246" s="91"/>
      <c r="J246" s="91">
        <f t="shared" si="25"/>
        <v>32278.080000000002</v>
      </c>
      <c r="K246" s="90">
        <v>32278.080000000002</v>
      </c>
      <c r="L246" s="103"/>
      <c r="M246" s="83">
        <v>0</v>
      </c>
      <c r="N246" s="103"/>
      <c r="O246" s="103"/>
      <c r="P246" s="91">
        <v>0</v>
      </c>
      <c r="Q246" s="103"/>
      <c r="R246" s="91">
        <v>-9853.26</v>
      </c>
      <c r="S246" s="103"/>
      <c r="T246" s="91">
        <v>11792.18</v>
      </c>
      <c r="U246" s="103"/>
      <c r="V246" s="91">
        <v>0</v>
      </c>
      <c r="W246" s="103"/>
      <c r="X246" s="91"/>
      <c r="Y246" s="91"/>
      <c r="Z246" s="91">
        <f t="shared" si="26"/>
        <v>-584054.67999999993</v>
      </c>
      <c r="AA246" s="92">
        <v>-589359.86</v>
      </c>
      <c r="AB246" s="92">
        <f t="shared" si="20"/>
        <v>5305.1800000000512</v>
      </c>
    </row>
    <row r="247" spans="1:28" hidden="1" x14ac:dyDescent="0.2">
      <c r="A247" s="95">
        <v>38168</v>
      </c>
      <c r="B247" s="91">
        <v>-113808</v>
      </c>
      <c r="C247" s="91">
        <v>-4034.6</v>
      </c>
      <c r="D247" s="90"/>
      <c r="E247" s="90"/>
      <c r="F247" s="90"/>
      <c r="G247" s="90">
        <f t="shared" si="24"/>
        <v>-109773.4</v>
      </c>
      <c r="H247" s="91">
        <v>184330.13</v>
      </c>
      <c r="I247" s="91"/>
      <c r="J247" s="91">
        <f t="shared" si="25"/>
        <v>-25177.040000000001</v>
      </c>
      <c r="K247" s="90">
        <v>-24963.040000000001</v>
      </c>
      <c r="L247" s="103"/>
      <c r="M247" s="83">
        <v>-214</v>
      </c>
      <c r="N247" s="103"/>
      <c r="O247" s="103"/>
      <c r="P247" s="91">
        <v>0</v>
      </c>
      <c r="Q247" s="103"/>
      <c r="R247" s="91">
        <v>-4389.1400000000003</v>
      </c>
      <c r="S247" s="103"/>
      <c r="T247" s="91">
        <v>17726.05</v>
      </c>
      <c r="U247" s="103"/>
      <c r="V247" s="91">
        <v>0</v>
      </c>
      <c r="W247" s="103"/>
      <c r="X247" s="91"/>
      <c r="Y247" s="91"/>
      <c r="Z247" s="91">
        <f t="shared" si="26"/>
        <v>-282263.40000000002</v>
      </c>
      <c r="AA247" s="92">
        <v>-281864.94</v>
      </c>
      <c r="AB247" s="92">
        <f t="shared" si="20"/>
        <v>-398.46000000002095</v>
      </c>
    </row>
    <row r="248" spans="1:28" hidden="1" x14ac:dyDescent="0.2">
      <c r="A248" s="95">
        <v>38260</v>
      </c>
      <c r="B248" s="91">
        <v>34503</v>
      </c>
      <c r="C248" s="91">
        <v>32040.85</v>
      </c>
      <c r="D248" s="90"/>
      <c r="E248" s="90"/>
      <c r="F248" s="90"/>
      <c r="G248" s="90">
        <f t="shared" si="24"/>
        <v>2462.1500000000015</v>
      </c>
      <c r="H248" s="91">
        <v>274129.03999999998</v>
      </c>
      <c r="I248" s="91"/>
      <c r="J248" s="91">
        <f t="shared" si="25"/>
        <v>8168.64</v>
      </c>
      <c r="K248" s="90">
        <v>8168.64</v>
      </c>
      <c r="L248" s="103"/>
      <c r="M248" s="83">
        <v>0</v>
      </c>
      <c r="N248" s="103"/>
      <c r="O248" s="103"/>
      <c r="P248" s="91">
        <v>0</v>
      </c>
      <c r="Q248" s="103"/>
      <c r="R248" s="91">
        <v>121.25</v>
      </c>
      <c r="S248" s="103"/>
      <c r="T248" s="91">
        <v>24956.89</v>
      </c>
      <c r="U248" s="103"/>
      <c r="V248" s="91">
        <v>0</v>
      </c>
      <c r="W248" s="103"/>
      <c r="X248" s="91"/>
      <c r="Y248" s="91"/>
      <c r="Z248" s="91">
        <f t="shared" si="26"/>
        <v>-304913.67</v>
      </c>
      <c r="AA248" s="92">
        <v>-304913.67</v>
      </c>
      <c r="AB248" s="92">
        <f t="shared" si="20"/>
        <v>0</v>
      </c>
    </row>
    <row r="249" spans="1:28" hidden="1" x14ac:dyDescent="0.2">
      <c r="A249" s="95">
        <v>38352</v>
      </c>
      <c r="B249" s="91">
        <v>4898</v>
      </c>
      <c r="C249" s="91">
        <v>19869.54</v>
      </c>
      <c r="D249" s="90"/>
      <c r="E249" s="90"/>
      <c r="F249" s="90"/>
      <c r="G249" s="90">
        <f t="shared" si="24"/>
        <v>-14971.54</v>
      </c>
      <c r="H249" s="91">
        <v>313193.07</v>
      </c>
      <c r="I249" s="91"/>
      <c r="J249" s="91">
        <f t="shared" si="25"/>
        <v>1327.8200000000002</v>
      </c>
      <c r="K249" s="90">
        <v>1006.82</v>
      </c>
      <c r="L249" s="103"/>
      <c r="M249" s="83">
        <v>321</v>
      </c>
      <c r="N249" s="103"/>
      <c r="O249" s="103"/>
      <c r="P249" s="91">
        <v>0</v>
      </c>
      <c r="Q249" s="103"/>
      <c r="R249" s="91">
        <v>-1231.55</v>
      </c>
      <c r="S249" s="103"/>
      <c r="T249" s="91">
        <v>15362.97</v>
      </c>
      <c r="U249" s="103"/>
      <c r="V249" s="91">
        <v>0</v>
      </c>
      <c r="W249" s="103"/>
      <c r="X249" s="91"/>
      <c r="Y249" s="91"/>
      <c r="Z249" s="91">
        <f t="shared" si="26"/>
        <v>-343623.85</v>
      </c>
      <c r="AA249" s="92">
        <v>-343623.85</v>
      </c>
      <c r="AB249" s="92">
        <f t="shared" si="20"/>
        <v>0</v>
      </c>
    </row>
    <row r="250" spans="1:28" hidden="1" x14ac:dyDescent="0.2">
      <c r="A250" s="95">
        <v>38442</v>
      </c>
      <c r="B250" s="91">
        <v>-5873</v>
      </c>
      <c r="C250" s="91">
        <v>-6917.74</v>
      </c>
      <c r="D250" s="90"/>
      <c r="E250" s="90"/>
      <c r="F250" s="90"/>
      <c r="G250" s="90">
        <f t="shared" si="24"/>
        <v>1044.7399999999998</v>
      </c>
      <c r="H250" s="91">
        <v>523207.63</v>
      </c>
      <c r="I250" s="91"/>
      <c r="J250" s="91">
        <f t="shared" si="25"/>
        <v>-1513.82</v>
      </c>
      <c r="K250" s="90">
        <v>-1299.82</v>
      </c>
      <c r="L250" s="103"/>
      <c r="M250" s="83">
        <v>-214</v>
      </c>
      <c r="N250" s="103"/>
      <c r="O250" s="103"/>
      <c r="P250" s="91">
        <v>0</v>
      </c>
      <c r="Q250" s="103"/>
      <c r="R250" s="91">
        <v>-208.41</v>
      </c>
      <c r="S250" s="103"/>
      <c r="T250" s="91">
        <v>15544.59</v>
      </c>
      <c r="U250" s="103"/>
      <c r="V250" s="91">
        <v>0</v>
      </c>
      <c r="W250" s="103"/>
      <c r="X250" s="91"/>
      <c r="Y250" s="91"/>
      <c r="Z250" s="91">
        <f t="shared" si="26"/>
        <v>-535985.25</v>
      </c>
      <c r="AA250" s="92">
        <v>-535985.25</v>
      </c>
      <c r="AB250" s="92">
        <f t="shared" si="20"/>
        <v>0</v>
      </c>
    </row>
    <row r="251" spans="1:28" hidden="1" x14ac:dyDescent="0.2">
      <c r="A251" s="95">
        <v>38533</v>
      </c>
      <c r="B251" s="91">
        <v>-51414</v>
      </c>
      <c r="C251" s="91">
        <v>3545.82</v>
      </c>
      <c r="D251" s="90"/>
      <c r="E251" s="90"/>
      <c r="F251" s="90"/>
      <c r="G251" s="90">
        <f t="shared" si="24"/>
        <v>-54959.82</v>
      </c>
      <c r="H251" s="91">
        <v>-136424.85999999999</v>
      </c>
      <c r="I251" s="91"/>
      <c r="J251" s="91">
        <f t="shared" si="25"/>
        <v>-12414.8</v>
      </c>
      <c r="K251" s="90">
        <v>-12307.8</v>
      </c>
      <c r="L251" s="103"/>
      <c r="M251" s="83">
        <v>-107</v>
      </c>
      <c r="N251" s="103"/>
      <c r="O251" s="103"/>
      <c r="P251" s="91">
        <v>0</v>
      </c>
      <c r="Q251" s="103"/>
      <c r="R251" s="91">
        <v>-1114.55</v>
      </c>
      <c r="S251" s="103"/>
      <c r="T251" s="91">
        <v>11367.92</v>
      </c>
      <c r="U251" s="103"/>
      <c r="V251" s="91">
        <v>0</v>
      </c>
      <c r="W251" s="103"/>
      <c r="X251" s="91"/>
      <c r="Y251" s="91"/>
      <c r="Z251" s="91">
        <f t="shared" si="26"/>
        <v>83626.469999999987</v>
      </c>
      <c r="AA251" s="92">
        <v>83625.47</v>
      </c>
      <c r="AB251" s="92">
        <f t="shared" si="20"/>
        <v>0.99999999998544808</v>
      </c>
    </row>
    <row r="252" spans="1:28" hidden="1" x14ac:dyDescent="0.2">
      <c r="A252" s="95">
        <v>38625</v>
      </c>
      <c r="B252" s="91">
        <v>-442</v>
      </c>
      <c r="C252" s="91">
        <v>-14701.12</v>
      </c>
      <c r="D252" s="90"/>
      <c r="E252" s="90"/>
      <c r="F252" s="90"/>
      <c r="G252" s="90">
        <f t="shared" si="24"/>
        <v>14259.12</v>
      </c>
      <c r="H252" s="91">
        <v>153917.45000000001</v>
      </c>
      <c r="I252" s="91"/>
      <c r="J252" s="91">
        <f t="shared" si="25"/>
        <v>-170.72</v>
      </c>
      <c r="K252" s="90">
        <v>-63.72</v>
      </c>
      <c r="L252" s="103"/>
      <c r="M252" s="83">
        <v>-107</v>
      </c>
      <c r="N252" s="103"/>
      <c r="O252" s="103"/>
      <c r="P252" s="91">
        <v>0</v>
      </c>
      <c r="Q252" s="103"/>
      <c r="R252" s="91">
        <v>197.02</v>
      </c>
      <c r="S252" s="103"/>
      <c r="T252" s="91">
        <v>9137.41</v>
      </c>
      <c r="U252" s="103"/>
      <c r="V252" s="91">
        <v>0</v>
      </c>
      <c r="W252" s="103"/>
      <c r="X252" s="91"/>
      <c r="Y252" s="91"/>
      <c r="Z252" s="91">
        <f t="shared" si="26"/>
        <v>-148822.04</v>
      </c>
      <c r="AA252" s="92">
        <v>-148822.04</v>
      </c>
      <c r="AB252" s="92">
        <f t="shared" si="20"/>
        <v>0</v>
      </c>
    </row>
    <row r="253" spans="1:28" hidden="1" x14ac:dyDescent="0.2">
      <c r="A253" s="95">
        <v>38717</v>
      </c>
      <c r="B253" s="91">
        <v>50283</v>
      </c>
      <c r="C253" s="91">
        <v>-360.39</v>
      </c>
      <c r="D253" s="90"/>
      <c r="E253" s="90"/>
      <c r="F253" s="90"/>
      <c r="G253" s="90">
        <f t="shared" si="24"/>
        <v>50643.39</v>
      </c>
      <c r="H253" s="91">
        <v>-46322.37</v>
      </c>
      <c r="I253" s="91"/>
      <c r="J253" s="91">
        <f t="shared" si="25"/>
        <v>11135.26</v>
      </c>
      <c r="K253" s="90">
        <v>11028.26</v>
      </c>
      <c r="L253" s="103"/>
      <c r="M253" s="83">
        <v>107</v>
      </c>
      <c r="N253" s="103"/>
      <c r="O253" s="103"/>
      <c r="P253" s="91">
        <v>0</v>
      </c>
      <c r="Q253" s="103"/>
      <c r="R253" s="91">
        <v>2023.92</v>
      </c>
      <c r="S253" s="103"/>
      <c r="T253" s="91">
        <v>-373.71</v>
      </c>
      <c r="U253" s="103"/>
      <c r="V253" s="91">
        <v>0</v>
      </c>
      <c r="W253" s="103"/>
      <c r="X253" s="91"/>
      <c r="Y253" s="91"/>
      <c r="Z253" s="91">
        <f t="shared" si="26"/>
        <v>84180.290000000023</v>
      </c>
      <c r="AA253" s="92">
        <v>84180.29</v>
      </c>
      <c r="AB253" s="92">
        <f t="shared" si="20"/>
        <v>0</v>
      </c>
    </row>
    <row r="254" spans="1:28" hidden="1" x14ac:dyDescent="0.2">
      <c r="A254" s="95">
        <v>38807</v>
      </c>
      <c r="B254" s="91">
        <v>-767</v>
      </c>
      <c r="C254" s="91">
        <v>-5763.21</v>
      </c>
      <c r="D254" s="90"/>
      <c r="E254" s="90"/>
      <c r="F254" s="90"/>
      <c r="G254" s="90">
        <f t="shared" si="24"/>
        <v>4996.21</v>
      </c>
      <c r="H254" s="91">
        <v>35117.97</v>
      </c>
      <c r="I254" s="91"/>
      <c r="J254" s="91">
        <f t="shared" si="25"/>
        <v>-169.48</v>
      </c>
      <c r="K254" s="90">
        <v>-169.48</v>
      </c>
      <c r="L254" s="103"/>
      <c r="M254" s="83">
        <v>0</v>
      </c>
      <c r="N254" s="103"/>
      <c r="O254" s="103"/>
      <c r="P254" s="91">
        <v>0</v>
      </c>
      <c r="Q254" s="103"/>
      <c r="R254" s="91">
        <v>-66</v>
      </c>
      <c r="S254" s="103"/>
      <c r="T254" s="91">
        <v>3607.82</v>
      </c>
      <c r="U254" s="103"/>
      <c r="V254" s="91">
        <v>0</v>
      </c>
      <c r="W254" s="103"/>
      <c r="X254" s="91">
        <v>940000</v>
      </c>
      <c r="Y254" s="91"/>
      <c r="Z254" s="91">
        <f t="shared" si="26"/>
        <v>-33494.100000000006</v>
      </c>
      <c r="AA254" s="92">
        <v>-33494.1</v>
      </c>
      <c r="AB254" s="92">
        <f t="shared" si="20"/>
        <v>0</v>
      </c>
    </row>
    <row r="255" spans="1:28" hidden="1" x14ac:dyDescent="0.2">
      <c r="A255" s="95">
        <v>38898</v>
      </c>
      <c r="B255" s="91">
        <v>-27871</v>
      </c>
      <c r="C255" s="91">
        <v>39784.1</v>
      </c>
      <c r="D255" s="90"/>
      <c r="E255" s="90"/>
      <c r="F255" s="90"/>
      <c r="G255" s="90">
        <f t="shared" si="24"/>
        <v>-67655.100000000006</v>
      </c>
      <c r="H255" s="91">
        <v>26174.080000000002</v>
      </c>
      <c r="I255" s="91"/>
      <c r="J255" s="91">
        <f t="shared" si="25"/>
        <v>-6197.46</v>
      </c>
      <c r="K255" s="90">
        <v>-6090.46</v>
      </c>
      <c r="L255" s="103"/>
      <c r="M255" s="83">
        <v>-107</v>
      </c>
      <c r="N255" s="103"/>
      <c r="O255" s="103"/>
      <c r="P255" s="91">
        <v>0</v>
      </c>
      <c r="Q255" s="103"/>
      <c r="R255" s="91">
        <v>-2971.6</v>
      </c>
      <c r="S255" s="103"/>
      <c r="T255" s="91">
        <v>-2819.55</v>
      </c>
      <c r="U255" s="103"/>
      <c r="V255" s="91">
        <v>0</v>
      </c>
      <c r="W255" s="103"/>
      <c r="X255" s="91"/>
      <c r="Y255" s="91"/>
      <c r="Z255" s="91">
        <f t="shared" si="26"/>
        <v>-81840.569999999992</v>
      </c>
      <c r="AA255" s="92">
        <v>-81839.570000000007</v>
      </c>
      <c r="AB255" s="92">
        <f t="shared" si="20"/>
        <v>-0.99999999998544808</v>
      </c>
    </row>
    <row r="256" spans="1:28" hidden="1" x14ac:dyDescent="0.2">
      <c r="A256" s="95">
        <v>38990</v>
      </c>
      <c r="B256" s="91">
        <v>2551</v>
      </c>
      <c r="C256" s="91">
        <v>0</v>
      </c>
      <c r="D256" s="90"/>
      <c r="E256" s="90"/>
      <c r="F256" s="90"/>
      <c r="G256" s="90">
        <f t="shared" si="24"/>
        <v>2551</v>
      </c>
      <c r="H256" s="91">
        <v>41851.32</v>
      </c>
      <c r="I256" s="91"/>
      <c r="J256" s="91">
        <f t="shared" si="25"/>
        <v>612.24</v>
      </c>
      <c r="K256" s="90">
        <v>612.24</v>
      </c>
      <c r="L256" s="103"/>
      <c r="M256" s="83">
        <v>0</v>
      </c>
      <c r="N256" s="103"/>
      <c r="O256" s="103"/>
      <c r="P256" s="91">
        <v>0</v>
      </c>
      <c r="Q256" s="103"/>
      <c r="R256" s="91">
        <v>124.91</v>
      </c>
      <c r="S256" s="103"/>
      <c r="T256" s="91">
        <v>667.42</v>
      </c>
      <c r="U256" s="103"/>
      <c r="V256" s="91">
        <v>0</v>
      </c>
      <c r="W256" s="103"/>
      <c r="X256" s="91"/>
      <c r="Y256" s="91"/>
      <c r="Z256" s="91">
        <f t="shared" si="26"/>
        <v>-40704.89</v>
      </c>
      <c r="AA256" s="92">
        <v>-40704.89</v>
      </c>
      <c r="AB256" s="92">
        <f t="shared" si="20"/>
        <v>0</v>
      </c>
    </row>
    <row r="257" spans="1:28" hidden="1" x14ac:dyDescent="0.2">
      <c r="A257" s="95">
        <v>39082</v>
      </c>
      <c r="B257" s="91">
        <v>-900</v>
      </c>
      <c r="C257" s="91">
        <v>-29638.2</v>
      </c>
      <c r="D257" s="90"/>
      <c r="E257" s="90"/>
      <c r="F257" s="90"/>
      <c r="G257" s="90">
        <f t="shared" si="24"/>
        <v>28738.2</v>
      </c>
      <c r="H257" s="91">
        <v>21473.73</v>
      </c>
      <c r="I257" s="91"/>
      <c r="J257" s="91">
        <f t="shared" si="25"/>
        <v>-191.52</v>
      </c>
      <c r="K257" s="90">
        <v>-191.52</v>
      </c>
      <c r="L257" s="103"/>
      <c r="M257" s="83">
        <v>0</v>
      </c>
      <c r="N257" s="103"/>
      <c r="O257" s="103"/>
      <c r="P257" s="91">
        <v>-7.41</v>
      </c>
      <c r="Q257" s="103"/>
      <c r="R257" s="91">
        <v>1166.6500000000001</v>
      </c>
      <c r="S257" s="103"/>
      <c r="T257" s="91">
        <v>13614.97</v>
      </c>
      <c r="U257" s="103"/>
      <c r="V257" s="91">
        <v>0</v>
      </c>
      <c r="W257" s="103"/>
      <c r="X257" s="91"/>
      <c r="Y257" s="91"/>
      <c r="Z257" s="91">
        <f t="shared" si="26"/>
        <v>-7318.2199999999975</v>
      </c>
      <c r="AA257" s="92">
        <v>-7318.22</v>
      </c>
      <c r="AB257" s="92">
        <f t="shared" si="20"/>
        <v>0</v>
      </c>
    </row>
    <row r="258" spans="1:28" hidden="1" x14ac:dyDescent="0.2">
      <c r="A258" s="95">
        <v>39172</v>
      </c>
      <c r="B258" s="91">
        <v>0</v>
      </c>
      <c r="C258" s="91">
        <v>-43629.67</v>
      </c>
      <c r="D258" s="90"/>
      <c r="E258" s="90"/>
      <c r="F258" s="90"/>
      <c r="G258" s="90">
        <f t="shared" si="24"/>
        <v>43629.67</v>
      </c>
      <c r="H258" s="91">
        <v>27308.84</v>
      </c>
      <c r="I258" s="91"/>
      <c r="J258" s="91">
        <f t="shared" si="25"/>
        <v>0</v>
      </c>
      <c r="K258" s="90">
        <v>0</v>
      </c>
      <c r="L258" s="103"/>
      <c r="M258" s="83">
        <v>0</v>
      </c>
      <c r="N258" s="103"/>
      <c r="O258" s="103"/>
      <c r="P258" s="91">
        <v>0</v>
      </c>
      <c r="Q258" s="103"/>
      <c r="R258" s="91">
        <v>1673.99</v>
      </c>
      <c r="S258" s="103"/>
      <c r="T258" s="91">
        <v>3284.39</v>
      </c>
      <c r="U258" s="103"/>
      <c r="V258" s="91">
        <v>0</v>
      </c>
      <c r="W258" s="103"/>
      <c r="X258" s="91"/>
      <c r="Y258" s="91"/>
      <c r="Z258" s="91">
        <f t="shared" si="26"/>
        <v>11362.449999999999</v>
      </c>
      <c r="AA258" s="92">
        <v>11362.45</v>
      </c>
      <c r="AB258" s="92">
        <f t="shared" si="20"/>
        <v>0</v>
      </c>
    </row>
    <row r="259" spans="1:28" hidden="1" x14ac:dyDescent="0.2">
      <c r="A259" s="95">
        <v>39263</v>
      </c>
      <c r="B259" s="91">
        <v>-650</v>
      </c>
      <c r="C259" s="91">
        <v>-4328.1899999999996</v>
      </c>
      <c r="D259" s="90"/>
      <c r="E259" s="90"/>
      <c r="F259" s="90"/>
      <c r="G259" s="90">
        <f t="shared" si="24"/>
        <v>3678.1899999999996</v>
      </c>
      <c r="H259" s="91">
        <v>34842.720000000001</v>
      </c>
      <c r="I259" s="91"/>
      <c r="J259" s="91">
        <f t="shared" si="25"/>
        <v>-125.84</v>
      </c>
      <c r="K259" s="90">
        <f>-132.72+0.88</f>
        <v>-131.84</v>
      </c>
      <c r="L259" s="103"/>
      <c r="M259" s="83">
        <v>6</v>
      </c>
      <c r="N259" s="103"/>
      <c r="O259" s="103"/>
      <c r="P259" s="91">
        <v>16.190000000000001</v>
      </c>
      <c r="Q259" s="103"/>
      <c r="R259" s="91">
        <v>133.44</v>
      </c>
      <c r="S259" s="103"/>
      <c r="T259" s="91">
        <v>650.03</v>
      </c>
      <c r="U259" s="103"/>
      <c r="V259" s="91">
        <v>0</v>
      </c>
      <c r="W259" s="103"/>
      <c r="X259" s="91"/>
      <c r="Y259" s="91"/>
      <c r="Z259" s="91">
        <f t="shared" si="26"/>
        <v>-31838.35</v>
      </c>
      <c r="AA259" s="92"/>
      <c r="AB259" s="92"/>
    </row>
    <row r="260" spans="1:28" hidden="1" x14ac:dyDescent="0.2">
      <c r="A260" s="95">
        <v>39355</v>
      </c>
      <c r="B260" s="91">
        <v>260</v>
      </c>
      <c r="C260" s="91">
        <v>-7570.94</v>
      </c>
      <c r="D260" s="90">
        <v>0</v>
      </c>
      <c r="E260" s="90"/>
      <c r="F260" s="90"/>
      <c r="G260" s="90">
        <f t="shared" si="24"/>
        <v>7830.94</v>
      </c>
      <c r="H260" s="91">
        <v>40883.040000000001</v>
      </c>
      <c r="I260" s="91"/>
      <c r="J260" s="91">
        <f t="shared" si="25"/>
        <v>62.4</v>
      </c>
      <c r="K260" s="90">
        <v>62.4</v>
      </c>
      <c r="L260" s="103"/>
      <c r="M260" s="83">
        <v>0</v>
      </c>
      <c r="N260" s="103"/>
      <c r="O260" s="103"/>
      <c r="P260" s="91">
        <v>38.56</v>
      </c>
      <c r="Q260" s="103"/>
      <c r="R260" s="91">
        <v>355.39</v>
      </c>
      <c r="S260" s="103"/>
      <c r="T260" s="91">
        <v>1872.57</v>
      </c>
      <c r="U260" s="103"/>
      <c r="V260" s="91">
        <v>0</v>
      </c>
      <c r="W260" s="103"/>
      <c r="X260" s="91"/>
      <c r="Y260" s="91"/>
      <c r="Z260" s="91">
        <f t="shared" si="26"/>
        <v>-35381.019999999997</v>
      </c>
      <c r="AA260" s="92">
        <v>-35381.019999999997</v>
      </c>
      <c r="AB260" s="92">
        <f t="shared" si="20"/>
        <v>0</v>
      </c>
    </row>
    <row r="261" spans="1:28" hidden="1" x14ac:dyDescent="0.2">
      <c r="A261" s="95">
        <v>39447</v>
      </c>
      <c r="B261" s="91">
        <v>0</v>
      </c>
      <c r="C261" s="91">
        <v>0</v>
      </c>
      <c r="D261" s="90">
        <v>0</v>
      </c>
      <c r="E261" s="90">
        <v>0</v>
      </c>
      <c r="F261" s="90">
        <v>0</v>
      </c>
      <c r="G261" s="90">
        <f t="shared" si="24"/>
        <v>0</v>
      </c>
      <c r="H261" s="91">
        <v>27621.96</v>
      </c>
      <c r="I261" s="91"/>
      <c r="J261" s="91">
        <v>0</v>
      </c>
      <c r="K261" s="90">
        <v>0</v>
      </c>
      <c r="L261" s="103"/>
      <c r="M261" s="83">
        <v>0</v>
      </c>
      <c r="N261" s="103"/>
      <c r="O261" s="103"/>
      <c r="P261" s="91">
        <v>47.35</v>
      </c>
      <c r="Q261" s="103"/>
      <c r="R261" s="91">
        <v>0</v>
      </c>
      <c r="S261" s="103"/>
      <c r="T261" s="91">
        <v>846.54</v>
      </c>
      <c r="U261" s="103"/>
      <c r="V261" s="91">
        <v>0</v>
      </c>
      <c r="W261" s="103"/>
      <c r="X261" s="91"/>
      <c r="Y261" s="91"/>
      <c r="Z261" s="91">
        <f t="shared" si="26"/>
        <v>-28515.85</v>
      </c>
      <c r="AA261" s="92">
        <v>-28515.85</v>
      </c>
      <c r="AB261" s="92">
        <f t="shared" si="20"/>
        <v>0</v>
      </c>
    </row>
    <row r="262" spans="1:28" hidden="1" x14ac:dyDescent="0.2">
      <c r="A262" s="95">
        <v>39538</v>
      </c>
      <c r="B262" s="91">
        <v>0</v>
      </c>
      <c r="C262" s="91">
        <v>-2942.05</v>
      </c>
      <c r="D262" s="90">
        <v>0</v>
      </c>
      <c r="E262" s="90">
        <v>2942.05</v>
      </c>
      <c r="F262" s="90">
        <v>0</v>
      </c>
      <c r="G262" s="90">
        <f t="shared" si="24"/>
        <v>2942.05</v>
      </c>
      <c r="H262" s="91">
        <v>34508.86</v>
      </c>
      <c r="I262" s="91"/>
      <c r="J262" s="91">
        <v>0</v>
      </c>
      <c r="K262" s="90">
        <v>0</v>
      </c>
      <c r="L262" s="103"/>
      <c r="M262" s="83">
        <v>0</v>
      </c>
      <c r="N262" s="103"/>
      <c r="O262" s="103"/>
      <c r="P262" s="91">
        <v>57.07</v>
      </c>
      <c r="Q262" s="103"/>
      <c r="R262" s="91">
        <v>117.68</v>
      </c>
      <c r="S262" s="103"/>
      <c r="T262" s="91">
        <v>1505.65</v>
      </c>
      <c r="U262" s="103"/>
      <c r="V262" s="91">
        <v>0</v>
      </c>
      <c r="W262" s="103"/>
      <c r="X262" s="91"/>
      <c r="Y262" s="91"/>
      <c r="Z262" s="91">
        <f t="shared" si="26"/>
        <v>-33247.21</v>
      </c>
      <c r="AA262" s="92">
        <v>-33247.21</v>
      </c>
      <c r="AB262" s="92">
        <f t="shared" si="20"/>
        <v>0</v>
      </c>
    </row>
    <row r="263" spans="1:28" hidden="1" x14ac:dyDescent="0.2">
      <c r="A263" s="95">
        <v>39629</v>
      </c>
      <c r="B263" s="91">
        <v>-367</v>
      </c>
      <c r="C263" s="91">
        <v>6867.95</v>
      </c>
      <c r="D263" s="90">
        <v>0</v>
      </c>
      <c r="E263" s="90">
        <f>B263-C263</f>
        <v>-7234.95</v>
      </c>
      <c r="F263" s="90">
        <v>0</v>
      </c>
      <c r="G263" s="90">
        <f t="shared" si="24"/>
        <v>-7234.95</v>
      </c>
      <c r="H263" s="91">
        <v>24465.64</v>
      </c>
      <c r="I263" s="91"/>
      <c r="J263" s="91">
        <v>-80.739999999999995</v>
      </c>
      <c r="K263" s="90">
        <v>-80.739999999999995</v>
      </c>
      <c r="L263" s="103"/>
      <c r="M263" s="83">
        <v>0</v>
      </c>
      <c r="N263" s="103"/>
      <c r="O263" s="103"/>
      <c r="P263" s="91">
        <v>47.41</v>
      </c>
      <c r="Q263" s="103"/>
      <c r="R263" s="91">
        <v>22.32</v>
      </c>
      <c r="S263" s="103"/>
      <c r="T263" s="91">
        <v>1541.77</v>
      </c>
      <c r="U263" s="103"/>
      <c r="V263" s="91">
        <v>0</v>
      </c>
      <c r="W263" s="103"/>
      <c r="X263" s="91"/>
      <c r="Y263" s="91"/>
      <c r="Z263" s="91">
        <f t="shared" si="26"/>
        <v>-33231.35</v>
      </c>
      <c r="AA263" s="92">
        <v>-33231.35</v>
      </c>
      <c r="AB263" s="92">
        <f t="shared" si="20"/>
        <v>0</v>
      </c>
    </row>
    <row r="264" spans="1:28" hidden="1" x14ac:dyDescent="0.2">
      <c r="A264" s="95">
        <v>39721</v>
      </c>
      <c r="B264" s="91">
        <v>0</v>
      </c>
      <c r="C264" s="91">
        <v>-57</v>
      </c>
      <c r="D264" s="90">
        <v>0</v>
      </c>
      <c r="E264" s="90">
        <f t="shared" ref="E264:E272" si="27">B264-C264</f>
        <v>57</v>
      </c>
      <c r="F264" s="90">
        <v>0</v>
      </c>
      <c r="G264" s="90">
        <f t="shared" si="24"/>
        <v>57</v>
      </c>
      <c r="H264" s="91">
        <v>37451.06</v>
      </c>
      <c r="I264" s="91"/>
      <c r="J264" s="91">
        <v>0</v>
      </c>
      <c r="K264" s="90">
        <v>0</v>
      </c>
      <c r="L264" s="103"/>
      <c r="M264" s="83">
        <v>0</v>
      </c>
      <c r="N264" s="103"/>
      <c r="O264" s="103"/>
      <c r="P264" s="91">
        <v>55.35</v>
      </c>
      <c r="Q264" s="103"/>
      <c r="R264" s="91">
        <v>0</v>
      </c>
      <c r="S264" s="103"/>
      <c r="T264" s="91">
        <v>8821.06</v>
      </c>
      <c r="U264" s="103"/>
      <c r="V264" s="91">
        <v>0</v>
      </c>
      <c r="W264" s="103"/>
      <c r="X264" s="91"/>
      <c r="Y264" s="91"/>
      <c r="Z264" s="91">
        <f t="shared" si="26"/>
        <v>-46270.469999999994</v>
      </c>
      <c r="AA264" s="92">
        <v>-46270.47</v>
      </c>
      <c r="AB264" s="92">
        <f t="shared" si="20"/>
        <v>0</v>
      </c>
    </row>
    <row r="265" spans="1:28" hidden="1" x14ac:dyDescent="0.2">
      <c r="A265" s="95">
        <v>39813</v>
      </c>
      <c r="B265" s="91">
        <v>0</v>
      </c>
      <c r="C265" s="91">
        <v>4748.33</v>
      </c>
      <c r="D265" s="90">
        <v>0</v>
      </c>
      <c r="E265" s="90">
        <f t="shared" si="27"/>
        <v>-4748.33</v>
      </c>
      <c r="F265" s="90">
        <v>0</v>
      </c>
      <c r="G265" s="90">
        <f t="shared" si="24"/>
        <v>-4748.33</v>
      </c>
      <c r="H265" s="91">
        <v>32161</v>
      </c>
      <c r="I265" s="91"/>
      <c r="J265" s="91">
        <v>0</v>
      </c>
      <c r="K265" s="90">
        <v>0</v>
      </c>
      <c r="L265" s="103"/>
      <c r="M265" s="83">
        <v>0</v>
      </c>
      <c r="N265" s="103"/>
      <c r="O265" s="103"/>
      <c r="P265" s="91">
        <v>5.2</v>
      </c>
      <c r="Q265" s="103"/>
      <c r="R265" s="91">
        <v>-213.05</v>
      </c>
      <c r="S265" s="103"/>
      <c r="T265" s="91">
        <v>3807.43</v>
      </c>
      <c r="U265" s="103"/>
      <c r="V265" s="91">
        <v>0</v>
      </c>
      <c r="W265" s="103"/>
      <c r="X265" s="91"/>
      <c r="Y265" s="91"/>
      <c r="Z265" s="91">
        <f t="shared" si="26"/>
        <v>-40508.909999999996</v>
      </c>
      <c r="AA265" s="92">
        <v>-40508.910000000003</v>
      </c>
      <c r="AB265" s="92">
        <f t="shared" si="20"/>
        <v>0</v>
      </c>
    </row>
    <row r="266" spans="1:28" hidden="1" x14ac:dyDescent="0.2">
      <c r="A266" s="95">
        <v>39903</v>
      </c>
      <c r="B266" s="91">
        <v>-14745</v>
      </c>
      <c r="C266" s="91">
        <v>-1582.6</v>
      </c>
      <c r="D266" s="90">
        <v>0</v>
      </c>
      <c r="E266" s="90">
        <f t="shared" si="27"/>
        <v>-13162.4</v>
      </c>
      <c r="F266" s="90">
        <v>0</v>
      </c>
      <c r="G266" s="90">
        <f t="shared" si="24"/>
        <v>-13162.4</v>
      </c>
      <c r="H266" s="91">
        <v>27697.97</v>
      </c>
      <c r="I266" s="91"/>
      <c r="J266" s="91">
        <v>-3243.9</v>
      </c>
      <c r="K266" s="90">
        <v>-3243.9</v>
      </c>
      <c r="L266" s="103"/>
      <c r="M266" s="83">
        <v>0</v>
      </c>
      <c r="N266" s="103"/>
      <c r="O266" s="103"/>
      <c r="P266" s="91">
        <v>24.85</v>
      </c>
      <c r="Q266" s="103"/>
      <c r="R266" s="91">
        <v>-526.70000000000005</v>
      </c>
      <c r="S266" s="103"/>
      <c r="T266" s="91">
        <v>716.24</v>
      </c>
      <c r="U266" s="103"/>
      <c r="V266" s="91">
        <v>0</v>
      </c>
      <c r="W266" s="103"/>
      <c r="X266" s="91"/>
      <c r="Y266" s="91"/>
      <c r="Z266" s="91">
        <f t="shared" si="26"/>
        <v>-37830.86</v>
      </c>
      <c r="AA266" s="92">
        <v>-37830.86</v>
      </c>
      <c r="AB266" s="92">
        <f t="shared" si="20"/>
        <v>0</v>
      </c>
    </row>
    <row r="267" spans="1:28" hidden="1" x14ac:dyDescent="0.2">
      <c r="A267" s="95">
        <v>39994</v>
      </c>
      <c r="B267" s="91">
        <v>0</v>
      </c>
      <c r="C267" s="91">
        <v>-9420.77</v>
      </c>
      <c r="D267" s="90">
        <v>0</v>
      </c>
      <c r="E267" s="90">
        <f t="shared" si="27"/>
        <v>9420.77</v>
      </c>
      <c r="F267" s="90">
        <v>0</v>
      </c>
      <c r="G267" s="90">
        <f t="shared" si="24"/>
        <v>9420.77</v>
      </c>
      <c r="H267" s="91">
        <v>26908.54</v>
      </c>
      <c r="I267" s="91"/>
      <c r="J267" s="91">
        <v>0</v>
      </c>
      <c r="K267" s="90">
        <v>0</v>
      </c>
      <c r="L267" s="103"/>
      <c r="M267" s="83">
        <v>0</v>
      </c>
      <c r="N267" s="103"/>
      <c r="O267" s="103"/>
      <c r="P267" s="91">
        <v>2.94</v>
      </c>
      <c r="Q267" s="103"/>
      <c r="R267" s="91">
        <v>399.77</v>
      </c>
      <c r="S267" s="103"/>
      <c r="T267" s="91">
        <v>887.69</v>
      </c>
      <c r="U267" s="103"/>
      <c r="V267" s="91">
        <v>0</v>
      </c>
      <c r="W267" s="103"/>
      <c r="X267" s="91"/>
      <c r="Y267" s="91"/>
      <c r="Z267" s="91">
        <f t="shared" si="26"/>
        <v>-18778.169999999998</v>
      </c>
      <c r="AA267" s="92">
        <v>-18778.169999999998</v>
      </c>
      <c r="AB267" s="92">
        <f t="shared" si="20"/>
        <v>0</v>
      </c>
    </row>
    <row r="268" spans="1:28" hidden="1" x14ac:dyDescent="0.2">
      <c r="A268" s="95">
        <v>40086</v>
      </c>
      <c r="B268" s="91">
        <v>0</v>
      </c>
      <c r="C268" s="91">
        <v>3788.57</v>
      </c>
      <c r="D268" s="90">
        <v>0</v>
      </c>
      <c r="E268" s="90">
        <f t="shared" si="27"/>
        <v>-3788.57</v>
      </c>
      <c r="F268" s="90">
        <v>0</v>
      </c>
      <c r="G268" s="90">
        <f t="shared" si="24"/>
        <v>-3788.57</v>
      </c>
      <c r="H268" s="91">
        <v>27006.12</v>
      </c>
      <c r="I268" s="91"/>
      <c r="J268" s="91">
        <v>0</v>
      </c>
      <c r="K268" s="90">
        <v>0</v>
      </c>
      <c r="L268" s="103"/>
      <c r="M268" s="83">
        <v>0</v>
      </c>
      <c r="N268" s="103"/>
      <c r="O268" s="103"/>
      <c r="P268" s="91">
        <v>7.61</v>
      </c>
      <c r="Q268" s="103"/>
      <c r="R268" s="91">
        <v>-169.17</v>
      </c>
      <c r="S268" s="103"/>
      <c r="T268" s="91">
        <v>1952.86</v>
      </c>
      <c r="U268" s="103"/>
      <c r="V268" s="91">
        <v>0</v>
      </c>
      <c r="W268" s="103"/>
      <c r="X268" s="91"/>
      <c r="Y268" s="91"/>
      <c r="Z268" s="91">
        <f t="shared" si="26"/>
        <v>-32585.99</v>
      </c>
      <c r="AA268" s="92">
        <v>-32585.99</v>
      </c>
      <c r="AB268" s="92">
        <f t="shared" si="20"/>
        <v>0</v>
      </c>
    </row>
    <row r="269" spans="1:28" hidden="1" x14ac:dyDescent="0.2">
      <c r="A269" s="95">
        <v>40178</v>
      </c>
      <c r="B269" s="91">
        <v>85687</v>
      </c>
      <c r="C269" s="91">
        <v>85687</v>
      </c>
      <c r="D269" s="90">
        <v>0</v>
      </c>
      <c r="E269" s="90">
        <f t="shared" si="27"/>
        <v>0</v>
      </c>
      <c r="F269" s="90">
        <v>0</v>
      </c>
      <c r="G269" s="90">
        <f t="shared" si="24"/>
        <v>0</v>
      </c>
      <c r="H269" s="91">
        <v>26311.8</v>
      </c>
      <c r="I269" s="91"/>
      <c r="J269" s="91">
        <v>20158.439999999999</v>
      </c>
      <c r="K269" s="90">
        <v>20158.439999999999</v>
      </c>
      <c r="L269" s="103"/>
      <c r="M269" s="83">
        <v>0</v>
      </c>
      <c r="N269" s="103"/>
      <c r="O269" s="103"/>
      <c r="P269" s="91">
        <v>3.95</v>
      </c>
      <c r="Q269" s="103"/>
      <c r="R269" s="91">
        <v>3640.94</v>
      </c>
      <c r="S269" s="103"/>
      <c r="T269" s="91">
        <v>1648.42</v>
      </c>
      <c r="U269" s="103"/>
      <c r="V269" s="91">
        <v>0</v>
      </c>
      <c r="W269" s="103"/>
      <c r="X269" s="91"/>
      <c r="Y269" s="91"/>
      <c r="Z269" s="91">
        <f t="shared" si="26"/>
        <v>-51763.549999999996</v>
      </c>
      <c r="AA269" s="92">
        <v>-51763.55</v>
      </c>
      <c r="AB269" s="92">
        <f t="shared" si="20"/>
        <v>0</v>
      </c>
    </row>
    <row r="270" spans="1:28" hidden="1" x14ac:dyDescent="0.2">
      <c r="A270" s="140">
        <v>40268</v>
      </c>
      <c r="B270" s="91">
        <v>0</v>
      </c>
      <c r="C270" s="91">
        <v>-7740.06</v>
      </c>
      <c r="D270" s="90">
        <v>0</v>
      </c>
      <c r="E270" s="90">
        <f t="shared" si="27"/>
        <v>7740.06</v>
      </c>
      <c r="F270" s="90"/>
      <c r="G270" s="90">
        <f t="shared" si="24"/>
        <v>7740.06</v>
      </c>
      <c r="H270" s="91">
        <v>44091.03</v>
      </c>
      <c r="I270" s="91"/>
      <c r="J270" s="91">
        <v>0</v>
      </c>
      <c r="K270" s="90">
        <v>0</v>
      </c>
      <c r="L270" s="103"/>
      <c r="M270" s="83">
        <v>0</v>
      </c>
      <c r="N270" s="103"/>
      <c r="O270" s="103"/>
      <c r="P270" s="91">
        <v>5.13</v>
      </c>
      <c r="Q270" s="103"/>
      <c r="R270" s="91">
        <v>-2939.03</v>
      </c>
      <c r="S270" s="103"/>
      <c r="T270" s="91">
        <v>9757.4</v>
      </c>
      <c r="U270" s="103"/>
      <c r="V270" s="91">
        <v>0</v>
      </c>
      <c r="W270" s="103"/>
      <c r="X270" s="91"/>
      <c r="Y270" s="91"/>
      <c r="Z270" s="91">
        <f t="shared" si="26"/>
        <v>-43174.47</v>
      </c>
      <c r="AA270" s="92">
        <v>-43174.47</v>
      </c>
      <c r="AB270" s="92">
        <f t="shared" si="20"/>
        <v>0</v>
      </c>
    </row>
    <row r="271" spans="1:28" hidden="1" x14ac:dyDescent="0.2">
      <c r="A271" s="95">
        <v>40359</v>
      </c>
      <c r="B271" s="91">
        <v>17928</v>
      </c>
      <c r="C271" s="91">
        <v>-200</v>
      </c>
      <c r="D271" s="90">
        <v>0</v>
      </c>
      <c r="E271" s="90">
        <f t="shared" si="27"/>
        <v>18128</v>
      </c>
      <c r="F271" s="90">
        <v>0</v>
      </c>
      <c r="G271" s="90">
        <f t="shared" si="24"/>
        <v>18128</v>
      </c>
      <c r="H271" s="91">
        <v>28364.82</v>
      </c>
      <c r="I271" s="91"/>
      <c r="J271" s="91">
        <v>4302.72</v>
      </c>
      <c r="K271" s="90">
        <v>4302.72</v>
      </c>
      <c r="L271" s="103"/>
      <c r="M271" s="83">
        <v>0</v>
      </c>
      <c r="N271" s="103"/>
      <c r="O271" s="103"/>
      <c r="P271" s="91">
        <v>-0.13</v>
      </c>
      <c r="Q271" s="103"/>
      <c r="R271" s="91">
        <v>685.79</v>
      </c>
      <c r="S271" s="103"/>
      <c r="T271" s="91">
        <v>274.13</v>
      </c>
      <c r="U271" s="103"/>
      <c r="V271" s="91">
        <v>0</v>
      </c>
      <c r="W271" s="103"/>
      <c r="X271" s="91"/>
      <c r="Y271" s="91"/>
      <c r="Z271" s="91">
        <f t="shared" si="26"/>
        <v>-15499.33</v>
      </c>
      <c r="AA271" s="92">
        <v>-15499.33</v>
      </c>
      <c r="AB271" s="92">
        <f t="shared" si="20"/>
        <v>0</v>
      </c>
    </row>
    <row r="272" spans="1:28" hidden="1" x14ac:dyDescent="0.2">
      <c r="A272" s="140">
        <v>40451</v>
      </c>
      <c r="B272" s="91">
        <v>0</v>
      </c>
      <c r="C272" s="91">
        <v>-91.24</v>
      </c>
      <c r="D272" s="90">
        <v>0</v>
      </c>
      <c r="E272" s="90">
        <f t="shared" si="27"/>
        <v>91.24</v>
      </c>
      <c r="F272" s="90">
        <v>0</v>
      </c>
      <c r="G272" s="90">
        <f t="shared" si="24"/>
        <v>91.24</v>
      </c>
      <c r="H272" s="91">
        <v>57401.2</v>
      </c>
      <c r="I272" s="91"/>
      <c r="J272" s="91">
        <v>0</v>
      </c>
      <c r="K272" s="90">
        <v>0</v>
      </c>
      <c r="L272" s="103"/>
      <c r="M272" s="83">
        <v>0</v>
      </c>
      <c r="N272" s="103"/>
      <c r="O272" s="103">
        <v>0</v>
      </c>
      <c r="P272" s="91">
        <v>-0.5</v>
      </c>
      <c r="Q272" s="103"/>
      <c r="R272" s="91">
        <v>2.4900000000000002</v>
      </c>
      <c r="S272" s="103"/>
      <c r="T272" s="91">
        <v>506.68</v>
      </c>
      <c r="U272" s="103"/>
      <c r="V272" s="91">
        <v>0</v>
      </c>
      <c r="W272" s="103"/>
      <c r="X272" s="91"/>
      <c r="Y272" s="91"/>
      <c r="Z272" s="91">
        <f t="shared" si="26"/>
        <v>-57818.63</v>
      </c>
      <c r="AA272" s="92">
        <v>-57818.63</v>
      </c>
      <c r="AB272" s="92">
        <f t="shared" si="20"/>
        <v>0</v>
      </c>
    </row>
    <row r="273" spans="1:28" hidden="1" x14ac:dyDescent="0.2">
      <c r="A273" s="140">
        <v>40543</v>
      </c>
      <c r="B273" s="91" t="s">
        <v>224</v>
      </c>
      <c r="C273" s="91"/>
      <c r="D273" s="90"/>
      <c r="E273" s="90"/>
      <c r="F273" s="90"/>
      <c r="G273" s="90"/>
      <c r="H273" s="91"/>
      <c r="I273" s="91"/>
      <c r="J273" s="91"/>
      <c r="K273" s="90"/>
      <c r="L273" s="103"/>
      <c r="M273" s="83"/>
      <c r="N273" s="103"/>
      <c r="O273" s="103"/>
      <c r="P273" s="91"/>
      <c r="Q273" s="103"/>
      <c r="R273" s="91"/>
      <c r="S273" s="103"/>
      <c r="T273" s="91"/>
      <c r="U273" s="103"/>
      <c r="V273" s="91"/>
      <c r="W273" s="103"/>
      <c r="X273" s="91"/>
      <c r="Y273" s="91"/>
      <c r="Z273" s="91"/>
      <c r="AA273" s="92"/>
      <c r="AB273" s="92"/>
    </row>
    <row r="274" spans="1:28" hidden="1" x14ac:dyDescent="0.2">
      <c r="A274" s="95"/>
      <c r="B274" s="96">
        <f t="shared" ref="B274:H274" si="28">SUM(B230:B272)</f>
        <v>25547490</v>
      </c>
      <c r="C274" s="96">
        <f t="shared" si="28"/>
        <v>973611.87999999989</v>
      </c>
      <c r="D274" s="96">
        <f t="shared" si="28"/>
        <v>0</v>
      </c>
      <c r="E274" s="96">
        <f t="shared" si="28"/>
        <v>9444.8700000000044</v>
      </c>
      <c r="F274" s="96">
        <f t="shared" si="28"/>
        <v>0</v>
      </c>
      <c r="G274" s="96">
        <f t="shared" si="28"/>
        <v>24573878.120000005</v>
      </c>
      <c r="H274" s="96">
        <f t="shared" si="28"/>
        <v>14648779.700000005</v>
      </c>
      <c r="I274" s="96">
        <f>SUM(I230:I271)</f>
        <v>0</v>
      </c>
      <c r="J274" s="96">
        <f>SUM(J230:J272)</f>
        <v>6335120.419999999</v>
      </c>
      <c r="K274" s="96">
        <f>SUM(K230:K272)</f>
        <v>5278229.419999999</v>
      </c>
      <c r="L274" s="97">
        <f>K274/G274</f>
        <v>0.21479024980205275</v>
      </c>
      <c r="M274" s="96">
        <f>SUM(M230:M272)</f>
        <v>1056890.9999999998</v>
      </c>
      <c r="N274" s="96">
        <f>M274/G274</f>
        <v>4.3008718234824529E-2</v>
      </c>
      <c r="O274" s="96">
        <f>SUM(O230:O271)</f>
        <v>0</v>
      </c>
      <c r="P274" s="96">
        <f>SUM(P230:P272)</f>
        <v>201253.21000000017</v>
      </c>
      <c r="Q274" s="96">
        <f>SUM(Q230:Q271)</f>
        <v>0</v>
      </c>
      <c r="R274" s="96">
        <f>SUM(R230:R272)</f>
        <v>1249793.8499999999</v>
      </c>
      <c r="S274" s="96">
        <f>SUM(S230:S271)</f>
        <v>0</v>
      </c>
      <c r="T274" s="96">
        <f>SUM(T230:T272)</f>
        <v>904581.92000000027</v>
      </c>
      <c r="U274" s="96">
        <f>SUM(U230:U271)</f>
        <v>0</v>
      </c>
      <c r="V274" s="96">
        <f>SUM(V230:V272)</f>
        <v>84854.68</v>
      </c>
      <c r="W274" s="96">
        <f>SUM(W230:W271)</f>
        <v>0</v>
      </c>
      <c r="X274" s="96">
        <f>SUM(X230:X271)</f>
        <v>940000</v>
      </c>
      <c r="Y274" s="96">
        <f>SUM(Y230:Y271)</f>
        <v>0</v>
      </c>
      <c r="Z274" s="96">
        <f>SUM(Z230:Z272)</f>
        <v>1319203.7000000014</v>
      </c>
      <c r="AA274" s="92"/>
      <c r="AB274" s="92"/>
    </row>
    <row r="275" spans="1:28" hidden="1" x14ac:dyDescent="0.2">
      <c r="A275" s="98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100"/>
      <c r="M275" s="100"/>
      <c r="N275" s="100"/>
      <c r="O275" s="100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101">
        <f>ROUND(G274-H274-J274-P274-R274-T274+V274,2)</f>
        <v>1319203.7</v>
      </c>
      <c r="AA275" s="92"/>
      <c r="AB275" s="92"/>
    </row>
    <row r="276" spans="1:28" hidden="1" x14ac:dyDescent="0.2">
      <c r="A276" s="82" t="s">
        <v>126</v>
      </c>
      <c r="Z276" s="102" t="str">
        <f>IF(Z275=Z274,"Check","NO")</f>
        <v>Check</v>
      </c>
      <c r="AA276" s="92"/>
      <c r="AB276" s="92"/>
    </row>
    <row r="277" spans="1:28" ht="38.25" hidden="1" x14ac:dyDescent="0.2">
      <c r="A277" s="86" t="s">
        <v>143</v>
      </c>
      <c r="B277" s="87" t="s">
        <v>144</v>
      </c>
      <c r="C277" s="87" t="s">
        <v>145</v>
      </c>
      <c r="D277" s="87" t="s">
        <v>170</v>
      </c>
      <c r="E277" s="87" t="s">
        <v>171</v>
      </c>
      <c r="F277" s="87" t="s">
        <v>172</v>
      </c>
      <c r="G277" s="87" t="s">
        <v>146</v>
      </c>
      <c r="H277" s="87" t="s">
        <v>147</v>
      </c>
      <c r="I277" s="87" t="s">
        <v>148</v>
      </c>
      <c r="J277" s="87" t="s">
        <v>169</v>
      </c>
      <c r="K277" s="87" t="s">
        <v>136</v>
      </c>
      <c r="L277" s="87" t="s">
        <v>149</v>
      </c>
      <c r="M277" s="87" t="s">
        <v>163</v>
      </c>
      <c r="N277" s="87" t="s">
        <v>164</v>
      </c>
      <c r="O277" s="87" t="s">
        <v>207</v>
      </c>
      <c r="P277" s="87" t="s">
        <v>150</v>
      </c>
      <c r="Q277" s="87" t="s">
        <v>151</v>
      </c>
      <c r="R277" s="87" t="s">
        <v>152</v>
      </c>
      <c r="S277" s="87" t="s">
        <v>153</v>
      </c>
      <c r="T277" s="87" t="s">
        <v>154</v>
      </c>
      <c r="U277" s="87" t="s">
        <v>155</v>
      </c>
      <c r="V277" s="87" t="s">
        <v>156</v>
      </c>
      <c r="W277" s="87" t="s">
        <v>157</v>
      </c>
      <c r="X277" s="87" t="s">
        <v>165</v>
      </c>
      <c r="Y277" s="87" t="s">
        <v>166</v>
      </c>
      <c r="Z277" s="87" t="s">
        <v>158</v>
      </c>
      <c r="AA277" s="87" t="s">
        <v>173</v>
      </c>
      <c r="AB277" s="87" t="s">
        <v>175</v>
      </c>
    </row>
    <row r="278" spans="1:28" hidden="1" x14ac:dyDescent="0.2">
      <c r="A278" s="106">
        <v>36981</v>
      </c>
      <c r="B278" s="107">
        <v>5175223.42</v>
      </c>
      <c r="C278" s="107">
        <v>0</v>
      </c>
      <c r="D278" s="89"/>
      <c r="E278" s="89"/>
      <c r="F278" s="89"/>
      <c r="G278" s="90">
        <f>B278-C278</f>
        <v>5175223.42</v>
      </c>
      <c r="H278" s="91">
        <v>36406.33</v>
      </c>
      <c r="I278" s="91"/>
      <c r="J278" s="91">
        <f>K278+M278</f>
        <v>1545948.83</v>
      </c>
      <c r="K278" s="91">
        <v>1010339.65</v>
      </c>
      <c r="L278" s="94"/>
      <c r="M278" s="83">
        <v>535609.18000000005</v>
      </c>
      <c r="N278" s="94"/>
      <c r="O278" s="94"/>
      <c r="P278" s="91">
        <v>336036.49</v>
      </c>
      <c r="Q278" s="94"/>
      <c r="R278" s="91">
        <v>275817.08</v>
      </c>
      <c r="S278" s="94"/>
      <c r="T278" s="91">
        <v>3199.36</v>
      </c>
      <c r="U278" s="107"/>
      <c r="V278" s="91">
        <v>22690.48</v>
      </c>
      <c r="W278" s="89"/>
      <c r="X278" s="89"/>
      <c r="Y278" s="89"/>
      <c r="Z278" s="108">
        <f>G278-H278-J278-P278-R278-T278+V278</f>
        <v>3000505.8099999996</v>
      </c>
      <c r="AA278" s="92">
        <v>3231326</v>
      </c>
      <c r="AB278" s="92">
        <f t="shared" si="20"/>
        <v>-230820.19000000041</v>
      </c>
    </row>
    <row r="279" spans="1:28" hidden="1" x14ac:dyDescent="0.2">
      <c r="A279" s="109">
        <v>37072</v>
      </c>
      <c r="B279" s="94">
        <v>7708143.1699999999</v>
      </c>
      <c r="C279" s="94">
        <v>0</v>
      </c>
      <c r="D279" s="89"/>
      <c r="E279" s="89"/>
      <c r="F279" s="89"/>
      <c r="G279" s="90">
        <f t="shared" ref="G279:G300" si="29">B279-C279</f>
        <v>7708143.1699999999</v>
      </c>
      <c r="H279" s="91">
        <v>122121.4</v>
      </c>
      <c r="I279" s="91"/>
      <c r="J279" s="91">
        <f t="shared" ref="J279:J305" si="30">K279+M279</f>
        <v>2235506.21</v>
      </c>
      <c r="K279" s="91">
        <v>1501073.52</v>
      </c>
      <c r="L279" s="94"/>
      <c r="M279" s="83">
        <v>734432.69</v>
      </c>
      <c r="N279" s="94"/>
      <c r="O279" s="94"/>
      <c r="P279" s="91">
        <v>206507.84</v>
      </c>
      <c r="Q279" s="94"/>
      <c r="R279" s="91">
        <v>411953.51</v>
      </c>
      <c r="S279" s="94"/>
      <c r="T279" s="91">
        <v>13884.12</v>
      </c>
      <c r="U279" s="94"/>
      <c r="V279" s="91">
        <v>32714.95</v>
      </c>
      <c r="W279" s="89"/>
      <c r="X279" s="94"/>
      <c r="Y279" s="94"/>
      <c r="Z279" s="91">
        <f>G279-H279-J279-P279-R279-T279+V279</f>
        <v>4750885.04</v>
      </c>
      <c r="AA279" s="92">
        <v>5028761.7300000004</v>
      </c>
      <c r="AB279" s="92">
        <f t="shared" si="20"/>
        <v>-277876.69000000041</v>
      </c>
    </row>
    <row r="280" spans="1:28" hidden="1" x14ac:dyDescent="0.2">
      <c r="A280" s="109">
        <v>37164</v>
      </c>
      <c r="B280" s="94">
        <v>9015487.4100000001</v>
      </c>
      <c r="C280" s="94">
        <v>0</v>
      </c>
      <c r="D280" s="89"/>
      <c r="E280" s="89"/>
      <c r="F280" s="89"/>
      <c r="G280" s="90">
        <f t="shared" si="29"/>
        <v>9015487.4100000001</v>
      </c>
      <c r="H280" s="91">
        <v>390407.1</v>
      </c>
      <c r="I280" s="91"/>
      <c r="J280" s="91">
        <f t="shared" si="30"/>
        <v>2436491.9900000002</v>
      </c>
      <c r="K280" s="91">
        <v>1742319.01</v>
      </c>
      <c r="L280" s="94"/>
      <c r="M280" s="83">
        <v>694172.98</v>
      </c>
      <c r="N280" s="94"/>
      <c r="O280" s="94"/>
      <c r="P280" s="91">
        <v>246106.6</v>
      </c>
      <c r="Q280" s="94"/>
      <c r="R280" s="91">
        <v>438234.34</v>
      </c>
      <c r="S280" s="94"/>
      <c r="T280" s="91">
        <v>45485.51</v>
      </c>
      <c r="U280" s="94"/>
      <c r="V280" s="91">
        <v>27973.67</v>
      </c>
      <c r="W280" s="89"/>
      <c r="X280" s="94"/>
      <c r="Y280" s="94"/>
      <c r="Z280" s="91">
        <f t="shared" ref="Z280:Z323" si="31">G280-H280-J280-P280-R280-T280+V280</f>
        <v>5486735.540000001</v>
      </c>
      <c r="AA280" s="92">
        <v>5733982.5199999996</v>
      </c>
      <c r="AB280" s="92">
        <f t="shared" si="20"/>
        <v>-247246.97999999858</v>
      </c>
    </row>
    <row r="281" spans="1:28" hidden="1" x14ac:dyDescent="0.2">
      <c r="A281" s="109">
        <v>37256</v>
      </c>
      <c r="B281" s="94">
        <v>9790706.8200000003</v>
      </c>
      <c r="C281" s="94">
        <v>55271.96</v>
      </c>
      <c r="D281" s="89"/>
      <c r="E281" s="89"/>
      <c r="F281" s="89"/>
      <c r="G281" s="90">
        <f t="shared" si="29"/>
        <v>9735434.8599999994</v>
      </c>
      <c r="H281" s="91">
        <v>875577.12</v>
      </c>
      <c r="I281" s="91"/>
      <c r="J281" s="91">
        <f t="shared" si="30"/>
        <v>2603592.92</v>
      </c>
      <c r="K281" s="91">
        <v>1874299.16</v>
      </c>
      <c r="L281" s="94"/>
      <c r="M281" s="83">
        <v>729293.76</v>
      </c>
      <c r="N281" s="94"/>
      <c r="O281" s="94"/>
      <c r="P281" s="91">
        <v>213160.78</v>
      </c>
      <c r="Q281" s="94"/>
      <c r="R281" s="91">
        <v>455938.52</v>
      </c>
      <c r="S281" s="94"/>
      <c r="T281" s="91">
        <v>109069.84</v>
      </c>
      <c r="U281" s="94"/>
      <c r="V281" s="91">
        <v>23558.69</v>
      </c>
      <c r="W281" s="89"/>
      <c r="X281" s="94"/>
      <c r="Y281" s="94"/>
      <c r="Z281" s="91">
        <f t="shared" si="31"/>
        <v>5501654.3700000001</v>
      </c>
      <c r="AA281" s="92">
        <v>5765572.1299999999</v>
      </c>
      <c r="AB281" s="92">
        <f t="shared" ref="AB281:AB323" si="32">Z281-AA281</f>
        <v>-263917.75999999978</v>
      </c>
    </row>
    <row r="282" spans="1:28" hidden="1" x14ac:dyDescent="0.2">
      <c r="A282" s="109">
        <v>37346</v>
      </c>
      <c r="B282" s="94">
        <v>2679053.6</v>
      </c>
      <c r="C282" s="94">
        <v>10257.620000000001</v>
      </c>
      <c r="D282" s="89"/>
      <c r="E282" s="89"/>
      <c r="F282" s="89"/>
      <c r="G282" s="90">
        <f t="shared" si="29"/>
        <v>2668795.98</v>
      </c>
      <c r="H282" s="91">
        <v>1419997.24</v>
      </c>
      <c r="I282" s="91"/>
      <c r="J282" s="91">
        <f t="shared" si="30"/>
        <v>533591.42999999993</v>
      </c>
      <c r="K282" s="91">
        <v>529773.61</v>
      </c>
      <c r="L282" s="94"/>
      <c r="M282" s="83">
        <v>3817.82</v>
      </c>
      <c r="N282" s="94"/>
      <c r="O282" s="94"/>
      <c r="P282" s="91">
        <v>12578.09</v>
      </c>
      <c r="Q282" s="94"/>
      <c r="R282" s="91">
        <v>92442.67</v>
      </c>
      <c r="S282" s="94"/>
      <c r="T282" s="91">
        <v>204558.57</v>
      </c>
      <c r="U282" s="94"/>
      <c r="V282" s="91">
        <v>0</v>
      </c>
      <c r="W282" s="89"/>
      <c r="X282" s="94"/>
      <c r="Y282" s="94"/>
      <c r="Z282" s="91">
        <f t="shared" si="31"/>
        <v>405627.98000000004</v>
      </c>
      <c r="AA282" s="92">
        <v>403846.8</v>
      </c>
      <c r="AB282" s="92">
        <f t="shared" si="32"/>
        <v>1781.1800000000512</v>
      </c>
    </row>
    <row r="283" spans="1:28" hidden="1" x14ac:dyDescent="0.2">
      <c r="A283" s="109">
        <v>37437</v>
      </c>
      <c r="B283" s="94">
        <v>3094665.51</v>
      </c>
      <c r="C283" s="94">
        <v>39953.449999999997</v>
      </c>
      <c r="D283" s="89"/>
      <c r="E283" s="89"/>
      <c r="F283" s="89"/>
      <c r="G283" s="90">
        <f t="shared" si="29"/>
        <v>3054712.0599999996</v>
      </c>
      <c r="H283" s="91">
        <v>1541542.48</v>
      </c>
      <c r="I283" s="91"/>
      <c r="J283" s="91">
        <f t="shared" si="30"/>
        <v>637086.44000000006</v>
      </c>
      <c r="K283" s="91">
        <v>657305.88</v>
      </c>
      <c r="L283" s="94"/>
      <c r="M283" s="83">
        <v>-20219.439999999999</v>
      </c>
      <c r="N283" s="94"/>
      <c r="O283" s="94"/>
      <c r="P283" s="91">
        <v>378291.01</v>
      </c>
      <c r="Q283" s="94"/>
      <c r="R283" s="91">
        <v>105917.1</v>
      </c>
      <c r="S283" s="94"/>
      <c r="T283" s="91">
        <v>221020.94</v>
      </c>
      <c r="U283" s="94"/>
      <c r="V283" s="91">
        <v>0</v>
      </c>
      <c r="W283" s="89"/>
      <c r="X283" s="94"/>
      <c r="Y283" s="94"/>
      <c r="Z283" s="91">
        <f t="shared" si="31"/>
        <v>170854.08999999956</v>
      </c>
      <c r="AA283" s="92">
        <v>159641.65</v>
      </c>
      <c r="AB283" s="92">
        <f t="shared" si="32"/>
        <v>11212.439999999566</v>
      </c>
    </row>
    <row r="284" spans="1:28" hidden="1" x14ac:dyDescent="0.2">
      <c r="A284" s="109">
        <v>37620</v>
      </c>
      <c r="B284" s="94">
        <v>1882203.13</v>
      </c>
      <c r="C284" s="94">
        <v>225238.58</v>
      </c>
      <c r="D284" s="89"/>
      <c r="E284" s="89"/>
      <c r="F284" s="89"/>
      <c r="G284" s="90">
        <f t="shared" si="29"/>
        <v>1656964.5499999998</v>
      </c>
      <c r="H284" s="91">
        <v>1682243.73</v>
      </c>
      <c r="I284" s="91"/>
      <c r="J284" s="91">
        <f t="shared" si="30"/>
        <v>386153.96</v>
      </c>
      <c r="K284" s="91">
        <v>381668.64</v>
      </c>
      <c r="L284" s="94"/>
      <c r="M284" s="83">
        <v>4485.32</v>
      </c>
      <c r="N284" s="94"/>
      <c r="O284" s="94"/>
      <c r="P284" s="91">
        <v>11862.47</v>
      </c>
      <c r="Q284" s="94"/>
      <c r="R284" s="91">
        <v>65284.36</v>
      </c>
      <c r="S284" s="94"/>
      <c r="T284" s="91">
        <v>225277.67</v>
      </c>
      <c r="U284" s="94"/>
      <c r="V284" s="91">
        <v>0</v>
      </c>
      <c r="W284" s="89"/>
      <c r="X284" s="94"/>
      <c r="Y284" s="94"/>
      <c r="Z284" s="91">
        <f t="shared" si="31"/>
        <v>-713857.64000000013</v>
      </c>
      <c r="AA284" s="92">
        <v>-718986.32</v>
      </c>
      <c r="AB284" s="92">
        <f t="shared" si="32"/>
        <v>5128.6799999998184</v>
      </c>
    </row>
    <row r="285" spans="1:28" hidden="1" x14ac:dyDescent="0.2">
      <c r="A285" s="109">
        <v>37621</v>
      </c>
      <c r="B285" s="94">
        <v>1224820.94</v>
      </c>
      <c r="C285" s="94">
        <v>1098167.72</v>
      </c>
      <c r="D285" s="89"/>
      <c r="E285" s="89"/>
      <c r="F285" s="89"/>
      <c r="G285" s="90">
        <f t="shared" si="29"/>
        <v>126653.21999999997</v>
      </c>
      <c r="H285" s="91">
        <v>2106070.04</v>
      </c>
      <c r="I285" s="91"/>
      <c r="J285" s="91">
        <f t="shared" si="30"/>
        <v>307330.78999999998</v>
      </c>
      <c r="K285" s="91">
        <v>288441.09999999998</v>
      </c>
      <c r="L285" s="94"/>
      <c r="M285" s="83">
        <v>18889.689999999999</v>
      </c>
      <c r="N285" s="94"/>
      <c r="O285" s="94"/>
      <c r="P285" s="91">
        <v>7706.22</v>
      </c>
      <c r="Q285" s="94"/>
      <c r="R285" s="91">
        <v>36580.089999999997</v>
      </c>
      <c r="S285" s="94"/>
      <c r="T285" s="91">
        <v>221051.2</v>
      </c>
      <c r="U285" s="94"/>
      <c r="V285" s="91">
        <v>0</v>
      </c>
      <c r="W285" s="89"/>
      <c r="X285" s="94"/>
      <c r="Y285" s="94"/>
      <c r="Z285" s="91">
        <f t="shared" si="31"/>
        <v>-2552085.12</v>
      </c>
      <c r="AA285" s="92">
        <v>-2555476.4300000002</v>
      </c>
      <c r="AB285" s="92">
        <f t="shared" si="32"/>
        <v>3391.3100000000559</v>
      </c>
    </row>
    <row r="286" spans="1:28" hidden="1" x14ac:dyDescent="0.2">
      <c r="A286" s="109">
        <v>37711</v>
      </c>
      <c r="B286" s="91">
        <v>-839139</v>
      </c>
      <c r="C286" s="91">
        <v>621331.56000000006</v>
      </c>
      <c r="D286" s="90"/>
      <c r="E286" s="90"/>
      <c r="F286" s="90"/>
      <c r="G286" s="90">
        <f t="shared" si="29"/>
        <v>-1460470.56</v>
      </c>
      <c r="H286" s="91">
        <v>1274930.69</v>
      </c>
      <c r="I286" s="91"/>
      <c r="J286" s="91">
        <f t="shared" si="30"/>
        <v>-192434.14</v>
      </c>
      <c r="K286" s="91">
        <v>-188427.14</v>
      </c>
      <c r="L286" s="94"/>
      <c r="M286" s="83">
        <v>-4007</v>
      </c>
      <c r="N286" s="94"/>
      <c r="O286" s="94"/>
      <c r="P286" s="91">
        <v>0</v>
      </c>
      <c r="Q286" s="94"/>
      <c r="R286" s="91">
        <v>-36481.480000000003</v>
      </c>
      <c r="S286" s="94"/>
      <c r="T286" s="91">
        <v>174808.59</v>
      </c>
      <c r="U286" s="94"/>
      <c r="V286" s="91">
        <v>0</v>
      </c>
      <c r="W286" s="89"/>
      <c r="X286" s="91"/>
      <c r="Y286" s="91"/>
      <c r="Z286" s="91">
        <f t="shared" si="31"/>
        <v>-2681294.2199999997</v>
      </c>
      <c r="AA286" s="92">
        <v>-2676905.56</v>
      </c>
      <c r="AB286" s="92">
        <f t="shared" si="32"/>
        <v>-4388.6599999996834</v>
      </c>
    </row>
    <row r="287" spans="1:28" hidden="1" x14ac:dyDescent="0.2">
      <c r="A287" s="109">
        <v>37802</v>
      </c>
      <c r="B287" s="91">
        <v>-694026</v>
      </c>
      <c r="C287" s="91">
        <v>655433.05000000005</v>
      </c>
      <c r="D287" s="90"/>
      <c r="E287" s="90"/>
      <c r="F287" s="90"/>
      <c r="G287" s="90">
        <f t="shared" si="29"/>
        <v>-1349459.05</v>
      </c>
      <c r="H287" s="91">
        <v>1455499.07</v>
      </c>
      <c r="I287" s="91"/>
      <c r="J287" s="91">
        <f t="shared" si="30"/>
        <v>-141177.34</v>
      </c>
      <c r="K287" s="91">
        <v>-131691.34</v>
      </c>
      <c r="L287" s="94"/>
      <c r="M287" s="83">
        <v>-9486</v>
      </c>
      <c r="N287" s="94"/>
      <c r="O287" s="94"/>
      <c r="P287" s="91">
        <v>0</v>
      </c>
      <c r="Q287" s="94"/>
      <c r="R287" s="91">
        <v>-32753.360000000001</v>
      </c>
      <c r="S287" s="94"/>
      <c r="T287" s="91">
        <v>197600.15</v>
      </c>
      <c r="U287" s="94"/>
      <c r="V287" s="91">
        <v>0</v>
      </c>
      <c r="W287" s="89"/>
      <c r="X287" s="91"/>
      <c r="Y287" s="91"/>
      <c r="Z287" s="91">
        <f t="shared" si="31"/>
        <v>-2828627.5700000003</v>
      </c>
      <c r="AA287" s="92">
        <v>-2828627.57</v>
      </c>
      <c r="AB287" s="92">
        <f t="shared" si="32"/>
        <v>0</v>
      </c>
    </row>
    <row r="288" spans="1:28" hidden="1" x14ac:dyDescent="0.2">
      <c r="A288" s="109">
        <v>37894</v>
      </c>
      <c r="B288" s="91">
        <v>-235410</v>
      </c>
      <c r="C288" s="91">
        <v>-43373.17</v>
      </c>
      <c r="D288" s="90"/>
      <c r="E288" s="90"/>
      <c r="F288" s="90"/>
      <c r="G288" s="90">
        <f t="shared" si="29"/>
        <v>-192036.83000000002</v>
      </c>
      <c r="H288" s="91">
        <v>808587.22</v>
      </c>
      <c r="I288" s="91"/>
      <c r="J288" s="91">
        <f t="shared" si="30"/>
        <v>-56392.98</v>
      </c>
      <c r="K288" s="91">
        <v>-53692.98</v>
      </c>
      <c r="L288" s="94"/>
      <c r="M288" s="83">
        <v>-2700</v>
      </c>
      <c r="N288" s="94"/>
      <c r="O288" s="94"/>
      <c r="P288" s="91">
        <v>0</v>
      </c>
      <c r="Q288" s="94"/>
      <c r="R288" s="91">
        <v>-8204.8799999999992</v>
      </c>
      <c r="S288" s="94"/>
      <c r="T288" s="91">
        <v>159812.46</v>
      </c>
      <c r="U288" s="94"/>
      <c r="V288" s="91">
        <v>0</v>
      </c>
      <c r="W288" s="89"/>
      <c r="X288" s="91"/>
      <c r="Y288" s="91"/>
      <c r="Z288" s="91">
        <f t="shared" si="31"/>
        <v>-1095838.6500000001</v>
      </c>
      <c r="AA288" s="92">
        <v>-1095838.6499999999</v>
      </c>
      <c r="AB288" s="92">
        <f t="shared" si="32"/>
        <v>0</v>
      </c>
    </row>
    <row r="289" spans="1:28" hidden="1" x14ac:dyDescent="0.2">
      <c r="A289" s="109">
        <v>37986</v>
      </c>
      <c r="B289" s="91">
        <v>236622</v>
      </c>
      <c r="C289" s="91">
        <v>-227832.36</v>
      </c>
      <c r="D289" s="90"/>
      <c r="E289" s="90"/>
      <c r="F289" s="90"/>
      <c r="G289" s="90">
        <f t="shared" si="29"/>
        <v>464454.36</v>
      </c>
      <c r="H289" s="91">
        <v>1199600.4099999999</v>
      </c>
      <c r="I289" s="91"/>
      <c r="J289" s="91">
        <f t="shared" si="30"/>
        <v>67260.899999999994</v>
      </c>
      <c r="K289" s="91">
        <v>69386.899999999994</v>
      </c>
      <c r="L289" s="94"/>
      <c r="M289" s="83">
        <v>-2126</v>
      </c>
      <c r="N289" s="94"/>
      <c r="O289" s="94"/>
      <c r="P289" s="91">
        <v>0</v>
      </c>
      <c r="Q289" s="94"/>
      <c r="R289" s="91">
        <v>7211.53</v>
      </c>
      <c r="S289" s="94"/>
      <c r="T289" s="91">
        <v>107161.77</v>
      </c>
      <c r="U289" s="94"/>
      <c r="V289" s="91">
        <v>0</v>
      </c>
      <c r="W289" s="89"/>
      <c r="X289" s="91"/>
      <c r="Y289" s="91"/>
      <c r="Z289" s="91">
        <f t="shared" si="31"/>
        <v>-916780.25</v>
      </c>
      <c r="AA289" s="92">
        <v>-916780.25</v>
      </c>
      <c r="AB289" s="92">
        <f t="shared" si="32"/>
        <v>0</v>
      </c>
    </row>
    <row r="290" spans="1:28" hidden="1" x14ac:dyDescent="0.2">
      <c r="A290" s="109">
        <v>38077</v>
      </c>
      <c r="B290" s="91">
        <v>-37960</v>
      </c>
      <c r="C290" s="91">
        <v>-1427.07</v>
      </c>
      <c r="D290" s="90"/>
      <c r="E290" s="90"/>
      <c r="F290" s="90"/>
      <c r="G290" s="90">
        <f t="shared" si="29"/>
        <v>-36532.93</v>
      </c>
      <c r="H290" s="91">
        <v>1766765.16</v>
      </c>
      <c r="I290" s="91"/>
      <c r="J290" s="91">
        <f t="shared" si="30"/>
        <v>-3673.02</v>
      </c>
      <c r="K290" s="91">
        <v>-1714.02</v>
      </c>
      <c r="L290" s="94"/>
      <c r="M290" s="83">
        <v>-1959</v>
      </c>
      <c r="N290" s="94"/>
      <c r="O290" s="94"/>
      <c r="P290" s="91">
        <v>0</v>
      </c>
      <c r="Q290" s="94"/>
      <c r="R290" s="91">
        <v>-40760.14</v>
      </c>
      <c r="S290" s="94"/>
      <c r="T290" s="91">
        <v>102421.53</v>
      </c>
      <c r="U290" s="94"/>
      <c r="V290" s="91">
        <v>0</v>
      </c>
      <c r="W290" s="89"/>
      <c r="X290" s="91"/>
      <c r="Y290" s="91"/>
      <c r="Z290" s="91">
        <f t="shared" si="31"/>
        <v>-1861286.46</v>
      </c>
      <c r="AA290" s="92">
        <v>-1863694.7</v>
      </c>
      <c r="AB290" s="92">
        <f t="shared" si="32"/>
        <v>2408.2399999999907</v>
      </c>
    </row>
    <row r="291" spans="1:28" hidden="1" x14ac:dyDescent="0.2">
      <c r="A291" s="109">
        <v>38168</v>
      </c>
      <c r="B291" s="91">
        <v>-71443</v>
      </c>
      <c r="C291" s="91">
        <v>-55615.23</v>
      </c>
      <c r="D291" s="90"/>
      <c r="E291" s="90"/>
      <c r="F291" s="90"/>
      <c r="G291" s="90">
        <f t="shared" si="29"/>
        <v>-15827.769999999997</v>
      </c>
      <c r="H291" s="91">
        <v>856520.53</v>
      </c>
      <c r="I291" s="91"/>
      <c r="J291" s="91">
        <f t="shared" si="30"/>
        <v>-20074.02</v>
      </c>
      <c r="K291" s="91">
        <v>-18489.02</v>
      </c>
      <c r="L291" s="94"/>
      <c r="M291" s="83">
        <v>-1585</v>
      </c>
      <c r="N291" s="94"/>
      <c r="O291" s="94"/>
      <c r="P291" s="91">
        <v>0</v>
      </c>
      <c r="Q291" s="94"/>
      <c r="R291" s="91">
        <v>-2669.91</v>
      </c>
      <c r="S291" s="94"/>
      <c r="T291" s="91">
        <v>95496.34</v>
      </c>
      <c r="U291" s="94"/>
      <c r="V291" s="91">
        <v>0</v>
      </c>
      <c r="W291" s="89"/>
      <c r="X291" s="91"/>
      <c r="Y291" s="91"/>
      <c r="Z291" s="91">
        <f t="shared" si="31"/>
        <v>-945100.71</v>
      </c>
      <c r="AA291" s="92">
        <v>-921394.61</v>
      </c>
      <c r="AB291" s="92">
        <f t="shared" si="32"/>
        <v>-23706.099999999977</v>
      </c>
    </row>
    <row r="292" spans="1:28" hidden="1" x14ac:dyDescent="0.2">
      <c r="A292" s="109">
        <v>38260</v>
      </c>
      <c r="B292" s="91">
        <v>41410</v>
      </c>
      <c r="C292" s="91">
        <v>444049.11</v>
      </c>
      <c r="D292" s="90"/>
      <c r="E292" s="90"/>
      <c r="F292" s="90"/>
      <c r="G292" s="90">
        <f t="shared" si="29"/>
        <v>-402639.11</v>
      </c>
      <c r="H292" s="91">
        <v>676501.98</v>
      </c>
      <c r="I292" s="91"/>
      <c r="J292" s="91">
        <f t="shared" si="30"/>
        <v>8550.14</v>
      </c>
      <c r="K292" s="91">
        <v>9116.14</v>
      </c>
      <c r="L292" s="94"/>
      <c r="M292" s="83">
        <v>-566</v>
      </c>
      <c r="N292" s="94"/>
      <c r="O292" s="94"/>
      <c r="P292" s="91">
        <v>0</v>
      </c>
      <c r="Q292" s="94"/>
      <c r="R292" s="91">
        <v>-24683.71</v>
      </c>
      <c r="S292" s="94"/>
      <c r="T292" s="91">
        <v>94312.25</v>
      </c>
      <c r="U292" s="94"/>
      <c r="V292" s="91">
        <v>0</v>
      </c>
      <c r="W292" s="89"/>
      <c r="X292" s="91"/>
      <c r="Y292" s="91"/>
      <c r="Z292" s="91">
        <f t="shared" si="31"/>
        <v>-1157319.7699999998</v>
      </c>
      <c r="AA292" s="92">
        <v>-1157858.77</v>
      </c>
      <c r="AB292" s="92">
        <f t="shared" si="32"/>
        <v>539.00000000023283</v>
      </c>
    </row>
    <row r="293" spans="1:28" hidden="1" x14ac:dyDescent="0.2">
      <c r="A293" s="109">
        <v>38352</v>
      </c>
      <c r="B293" s="91">
        <v>61464</v>
      </c>
      <c r="C293" s="91">
        <v>-14683.07</v>
      </c>
      <c r="D293" s="90"/>
      <c r="E293" s="90"/>
      <c r="F293" s="90"/>
      <c r="G293" s="90">
        <f t="shared" si="29"/>
        <v>76147.070000000007</v>
      </c>
      <c r="H293" s="91">
        <v>531188.68000000005</v>
      </c>
      <c r="I293" s="91"/>
      <c r="J293" s="91">
        <f t="shared" si="30"/>
        <v>13467.84</v>
      </c>
      <c r="K293" s="91">
        <v>13534.84</v>
      </c>
      <c r="L293" s="94"/>
      <c r="M293" s="83">
        <v>-67</v>
      </c>
      <c r="N293" s="94"/>
      <c r="O293" s="94"/>
      <c r="P293" s="91">
        <v>0</v>
      </c>
      <c r="Q293" s="94"/>
      <c r="R293" s="91">
        <v>940.33</v>
      </c>
      <c r="S293" s="94"/>
      <c r="T293" s="91">
        <v>59116.89</v>
      </c>
      <c r="U293" s="94"/>
      <c r="V293" s="91">
        <v>0</v>
      </c>
      <c r="W293" s="89"/>
      <c r="X293" s="91"/>
      <c r="Y293" s="91"/>
      <c r="Z293" s="91">
        <f t="shared" si="31"/>
        <v>-528566.67000000004</v>
      </c>
      <c r="AA293" s="92">
        <v>-528566.67000000004</v>
      </c>
      <c r="AB293" s="92">
        <f t="shared" si="32"/>
        <v>0</v>
      </c>
    </row>
    <row r="294" spans="1:28" hidden="1" x14ac:dyDescent="0.2">
      <c r="A294" s="109">
        <v>38442</v>
      </c>
      <c r="B294" s="91">
        <v>-29374</v>
      </c>
      <c r="C294" s="91">
        <v>-151925.60999999999</v>
      </c>
      <c r="D294" s="91"/>
      <c r="E294" s="91"/>
      <c r="F294" s="91"/>
      <c r="G294" s="90">
        <f t="shared" si="29"/>
        <v>122551.60999999999</v>
      </c>
      <c r="H294" s="91">
        <v>694704.08</v>
      </c>
      <c r="I294" s="91"/>
      <c r="J294" s="91">
        <f t="shared" si="30"/>
        <v>-6915.04</v>
      </c>
      <c r="K294" s="91">
        <v>-6618.04</v>
      </c>
      <c r="L294" s="94"/>
      <c r="M294" s="83">
        <v>-297</v>
      </c>
      <c r="N294" s="94"/>
      <c r="O294" s="94"/>
      <c r="P294" s="91">
        <v>0</v>
      </c>
      <c r="Q294" s="94"/>
      <c r="R294" s="91">
        <v>1674.75</v>
      </c>
      <c r="S294" s="94"/>
      <c r="T294" s="91">
        <v>90431.96</v>
      </c>
      <c r="U294" s="94"/>
      <c r="V294" s="91">
        <v>0</v>
      </c>
      <c r="W294" s="89"/>
      <c r="X294" s="91"/>
      <c r="Y294" s="91"/>
      <c r="Z294" s="91">
        <f t="shared" si="31"/>
        <v>-657344.1399999999</v>
      </c>
      <c r="AA294" s="92">
        <v>-657344.14</v>
      </c>
      <c r="AB294" s="92">
        <f t="shared" si="32"/>
        <v>0</v>
      </c>
    </row>
    <row r="295" spans="1:28" hidden="1" x14ac:dyDescent="0.2">
      <c r="A295" s="109">
        <v>38533</v>
      </c>
      <c r="B295" s="91">
        <v>-61623</v>
      </c>
      <c r="C295" s="91">
        <v>-123649.55</v>
      </c>
      <c r="D295" s="91"/>
      <c r="E295" s="91"/>
      <c r="F295" s="91"/>
      <c r="G295" s="90">
        <f t="shared" si="29"/>
        <v>62026.55</v>
      </c>
      <c r="H295" s="91">
        <v>590590.16</v>
      </c>
      <c r="I295" s="91"/>
      <c r="J295" s="91">
        <f t="shared" si="30"/>
        <v>-14800.18</v>
      </c>
      <c r="K295" s="91">
        <v>-14678.18</v>
      </c>
      <c r="L295" s="94"/>
      <c r="M295" s="83">
        <v>-122</v>
      </c>
      <c r="N295" s="94"/>
      <c r="O295" s="94"/>
      <c r="P295" s="91">
        <v>0</v>
      </c>
      <c r="Q295" s="94"/>
      <c r="R295" s="91">
        <v>1115.47</v>
      </c>
      <c r="S295" s="94"/>
      <c r="T295" s="91">
        <v>53125.7</v>
      </c>
      <c r="U295" s="94"/>
      <c r="V295" s="91">
        <v>0</v>
      </c>
      <c r="W295" s="89"/>
      <c r="X295" s="91"/>
      <c r="Y295" s="91"/>
      <c r="Z295" s="91">
        <f t="shared" si="31"/>
        <v>-568004.6</v>
      </c>
      <c r="AA295" s="92">
        <v>-568003.6</v>
      </c>
      <c r="AB295" s="92">
        <f t="shared" si="32"/>
        <v>-1</v>
      </c>
    </row>
    <row r="296" spans="1:28" hidden="1" x14ac:dyDescent="0.2">
      <c r="A296" s="109">
        <v>38625</v>
      </c>
      <c r="B296" s="91">
        <v>-1306</v>
      </c>
      <c r="C296" s="91">
        <v>-79758.17</v>
      </c>
      <c r="D296" s="91"/>
      <c r="E296" s="91"/>
      <c r="F296" s="91"/>
      <c r="G296" s="90">
        <f t="shared" si="29"/>
        <v>78452.17</v>
      </c>
      <c r="H296" s="91">
        <v>847704.66</v>
      </c>
      <c r="I296" s="91"/>
      <c r="J296" s="91">
        <f t="shared" si="30"/>
        <v>-370.78</v>
      </c>
      <c r="K296" s="91">
        <v>-263.77999999999997</v>
      </c>
      <c r="L296" s="94"/>
      <c r="M296" s="83">
        <v>-107</v>
      </c>
      <c r="N296" s="94"/>
      <c r="O296" s="94"/>
      <c r="P296" s="91">
        <v>0</v>
      </c>
      <c r="Q296" s="94"/>
      <c r="R296" s="91">
        <v>5008.9799999999996</v>
      </c>
      <c r="S296" s="94"/>
      <c r="T296" s="91">
        <v>65370.33</v>
      </c>
      <c r="U296" s="94"/>
      <c r="V296" s="91">
        <v>0</v>
      </c>
      <c r="W296" s="89"/>
      <c r="X296" s="91"/>
      <c r="Y296" s="91"/>
      <c r="Z296" s="91">
        <f t="shared" si="31"/>
        <v>-839261.0199999999</v>
      </c>
      <c r="AA296" s="92">
        <v>-839261.02</v>
      </c>
      <c r="AB296" s="92">
        <f t="shared" si="32"/>
        <v>0</v>
      </c>
    </row>
    <row r="297" spans="1:28" hidden="1" x14ac:dyDescent="0.2">
      <c r="A297" s="109">
        <v>38717</v>
      </c>
      <c r="B297" s="91">
        <v>-2259</v>
      </c>
      <c r="C297" s="91">
        <v>-16118.48</v>
      </c>
      <c r="D297" s="91"/>
      <c r="E297" s="91"/>
      <c r="F297" s="91"/>
      <c r="G297" s="90">
        <f t="shared" si="29"/>
        <v>13859.48</v>
      </c>
      <c r="H297" s="91">
        <v>491724.39</v>
      </c>
      <c r="I297" s="91"/>
      <c r="J297" s="91">
        <f t="shared" si="30"/>
        <v>-687.86</v>
      </c>
      <c r="K297" s="91">
        <v>-409.86</v>
      </c>
      <c r="L297" s="94"/>
      <c r="M297" s="83">
        <v>-278</v>
      </c>
      <c r="N297" s="94"/>
      <c r="O297" s="94"/>
      <c r="P297" s="91">
        <v>0</v>
      </c>
      <c r="Q297" s="94"/>
      <c r="R297" s="91">
        <v>-112.58</v>
      </c>
      <c r="S297" s="94"/>
      <c r="T297" s="91">
        <v>38885.74</v>
      </c>
      <c r="U297" s="94"/>
      <c r="V297" s="91">
        <v>0</v>
      </c>
      <c r="W297" s="89"/>
      <c r="X297" s="91"/>
      <c r="Y297" s="91"/>
      <c r="Z297" s="91">
        <f t="shared" si="31"/>
        <v>-515950.21</v>
      </c>
      <c r="AA297" s="92">
        <v>-515918.21</v>
      </c>
      <c r="AB297" s="92">
        <f t="shared" si="32"/>
        <v>-32</v>
      </c>
    </row>
    <row r="298" spans="1:28" hidden="1" x14ac:dyDescent="0.2">
      <c r="A298" s="109">
        <v>38807</v>
      </c>
      <c r="B298" s="91">
        <v>-15654</v>
      </c>
      <c r="C298" s="91">
        <v>-4630.45</v>
      </c>
      <c r="D298" s="91"/>
      <c r="E298" s="91"/>
      <c r="F298" s="91"/>
      <c r="G298" s="90">
        <f t="shared" si="29"/>
        <v>-11023.55</v>
      </c>
      <c r="H298" s="91">
        <v>271562.83</v>
      </c>
      <c r="I298" s="91"/>
      <c r="J298" s="91">
        <f t="shared" si="30"/>
        <v>-3638.88</v>
      </c>
      <c r="K298" s="91">
        <v>-3388.88</v>
      </c>
      <c r="L298" s="94"/>
      <c r="M298" s="83">
        <v>-250</v>
      </c>
      <c r="N298" s="94"/>
      <c r="O298" s="94"/>
      <c r="P298" s="91">
        <v>0</v>
      </c>
      <c r="Q298" s="94"/>
      <c r="R298" s="91">
        <v>-890.29</v>
      </c>
      <c r="S298" s="94"/>
      <c r="T298" s="91">
        <v>36768.69</v>
      </c>
      <c r="U298" s="94"/>
      <c r="V298" s="91">
        <v>0</v>
      </c>
      <c r="W298" s="89"/>
      <c r="X298" s="91">
        <v>1748000</v>
      </c>
      <c r="Y298" s="91"/>
      <c r="Z298" s="91">
        <f t="shared" si="31"/>
        <v>-314825.90000000002</v>
      </c>
      <c r="AA298" s="92">
        <v>-314825.90000000002</v>
      </c>
      <c r="AB298" s="92">
        <f t="shared" si="32"/>
        <v>0</v>
      </c>
    </row>
    <row r="299" spans="1:28" hidden="1" x14ac:dyDescent="0.2">
      <c r="A299" s="109">
        <v>38898</v>
      </c>
      <c r="B299" s="91">
        <v>-19107</v>
      </c>
      <c r="C299" s="91">
        <v>-51416.2</v>
      </c>
      <c r="D299" s="91"/>
      <c r="E299" s="91"/>
      <c r="F299" s="91"/>
      <c r="G299" s="90">
        <f t="shared" si="29"/>
        <v>32309.199999999997</v>
      </c>
      <c r="H299" s="91">
        <v>226959.78</v>
      </c>
      <c r="I299" s="91"/>
      <c r="J299" s="91">
        <f t="shared" si="30"/>
        <v>-4837.6000000000004</v>
      </c>
      <c r="K299" s="91">
        <v>-4593.6000000000004</v>
      </c>
      <c r="L299" s="89"/>
      <c r="M299" s="83">
        <v>-244</v>
      </c>
      <c r="N299" s="89"/>
      <c r="O299" s="89"/>
      <c r="P299" s="91">
        <v>0</v>
      </c>
      <c r="Q299" s="89"/>
      <c r="R299" s="91">
        <v>32.29</v>
      </c>
      <c r="S299" s="89"/>
      <c r="T299" s="91">
        <v>34798.019999999997</v>
      </c>
      <c r="U299" s="89"/>
      <c r="V299" s="91">
        <v>0</v>
      </c>
      <c r="W299" s="89"/>
      <c r="X299" s="91"/>
      <c r="Y299" s="91"/>
      <c r="Z299" s="91">
        <f t="shared" si="31"/>
        <v>-224643.29</v>
      </c>
      <c r="AA299" s="92">
        <v>-224644.29</v>
      </c>
      <c r="AB299" s="92">
        <f t="shared" si="32"/>
        <v>1</v>
      </c>
    </row>
    <row r="300" spans="1:28" hidden="1" x14ac:dyDescent="0.2">
      <c r="A300" s="109">
        <v>38990</v>
      </c>
      <c r="B300" s="91">
        <v>8139</v>
      </c>
      <c r="C300" s="91">
        <v>-15255.9</v>
      </c>
      <c r="D300" s="91"/>
      <c r="E300" s="91"/>
      <c r="F300" s="91"/>
      <c r="G300" s="90">
        <f t="shared" si="29"/>
        <v>23394.9</v>
      </c>
      <c r="H300" s="91">
        <v>-62537.79</v>
      </c>
      <c r="I300" s="91"/>
      <c r="J300" s="91">
        <f t="shared" si="30"/>
        <v>1874.04</v>
      </c>
      <c r="K300" s="91">
        <v>1767.04</v>
      </c>
      <c r="L300" s="89"/>
      <c r="M300" s="83">
        <v>107</v>
      </c>
      <c r="N300" s="89"/>
      <c r="O300" s="89"/>
      <c r="P300" s="91">
        <v>0</v>
      </c>
      <c r="Q300" s="89"/>
      <c r="R300" s="91">
        <v>784.55</v>
      </c>
      <c r="S300" s="89"/>
      <c r="T300" s="91">
        <v>9807.1</v>
      </c>
      <c r="U300" s="89"/>
      <c r="V300" s="91">
        <v>0</v>
      </c>
      <c r="W300" s="89"/>
      <c r="X300" s="91"/>
      <c r="Y300" s="91"/>
      <c r="Z300" s="91">
        <f t="shared" si="31"/>
        <v>73467</v>
      </c>
      <c r="AA300" s="92">
        <v>73467</v>
      </c>
      <c r="AB300" s="92">
        <f t="shared" si="32"/>
        <v>0</v>
      </c>
    </row>
    <row r="301" spans="1:28" hidden="1" x14ac:dyDescent="0.2">
      <c r="A301" s="109">
        <v>39082</v>
      </c>
      <c r="B301" s="91">
        <v>-2919</v>
      </c>
      <c r="C301" s="91">
        <v>-38222.01</v>
      </c>
      <c r="D301" s="91"/>
      <c r="E301" s="91"/>
      <c r="F301" s="91"/>
      <c r="G301" s="90">
        <v>35303.01</v>
      </c>
      <c r="H301" s="91">
        <v>54680.01</v>
      </c>
      <c r="I301" s="91"/>
      <c r="J301" s="91">
        <f t="shared" si="30"/>
        <v>-904.26</v>
      </c>
      <c r="K301" s="91">
        <v>-568.26</v>
      </c>
      <c r="L301" s="89"/>
      <c r="M301" s="83">
        <v>-336</v>
      </c>
      <c r="N301" s="89"/>
      <c r="O301" s="89"/>
      <c r="P301" s="91">
        <v>456.14</v>
      </c>
      <c r="Q301" s="89"/>
      <c r="R301" s="91">
        <v>146.54</v>
      </c>
      <c r="S301" s="89"/>
      <c r="T301" s="91">
        <v>31288.68</v>
      </c>
      <c r="U301" s="89"/>
      <c r="V301" s="91">
        <v>0</v>
      </c>
      <c r="W301" s="89"/>
      <c r="X301" s="91"/>
      <c r="Y301" s="91"/>
      <c r="Z301" s="91">
        <f t="shared" si="31"/>
        <v>-50364.100000000006</v>
      </c>
      <c r="AA301" s="92">
        <v>-50364.1</v>
      </c>
      <c r="AB301" s="92">
        <f t="shared" si="32"/>
        <v>0</v>
      </c>
    </row>
    <row r="302" spans="1:28" hidden="1" x14ac:dyDescent="0.2">
      <c r="A302" s="109">
        <v>39172</v>
      </c>
      <c r="B302" s="91">
        <v>0</v>
      </c>
      <c r="C302" s="91">
        <v>-11323.38</v>
      </c>
      <c r="D302" s="91"/>
      <c r="E302" s="91"/>
      <c r="F302" s="91"/>
      <c r="G302" s="90">
        <f t="shared" ref="G302:G323" si="33">B302-C302</f>
        <v>11323.38</v>
      </c>
      <c r="H302" s="91">
        <v>535301.43999999994</v>
      </c>
      <c r="I302" s="91"/>
      <c r="J302" s="91">
        <f t="shared" si="30"/>
        <v>0</v>
      </c>
      <c r="K302" s="91">
        <v>0</v>
      </c>
      <c r="L302" s="89"/>
      <c r="M302" s="83">
        <v>0</v>
      </c>
      <c r="N302" s="89"/>
      <c r="O302" s="89"/>
      <c r="P302" s="91">
        <v>0</v>
      </c>
      <c r="Q302" s="89"/>
      <c r="R302" s="91">
        <v>0</v>
      </c>
      <c r="S302" s="89"/>
      <c r="T302" s="91">
        <v>10579.77</v>
      </c>
      <c r="U302" s="89"/>
      <c r="V302" s="91">
        <v>0</v>
      </c>
      <c r="W302" s="89"/>
      <c r="X302" s="91"/>
      <c r="Y302" s="91"/>
      <c r="Z302" s="91">
        <f t="shared" si="31"/>
        <v>-534557.82999999996</v>
      </c>
      <c r="AA302" s="92">
        <v>-534557.82999999996</v>
      </c>
      <c r="AB302" s="92">
        <f t="shared" si="32"/>
        <v>0</v>
      </c>
    </row>
    <row r="303" spans="1:28" hidden="1" x14ac:dyDescent="0.2">
      <c r="A303" s="109">
        <v>39263</v>
      </c>
      <c r="B303" s="91">
        <v>-994</v>
      </c>
      <c r="C303" s="91">
        <v>-9694.7800000000007</v>
      </c>
      <c r="D303" s="91"/>
      <c r="E303" s="91"/>
      <c r="F303" s="91"/>
      <c r="G303" s="90">
        <f t="shared" si="33"/>
        <v>8700.7800000000007</v>
      </c>
      <c r="H303" s="91">
        <v>274379.33</v>
      </c>
      <c r="I303" s="91"/>
      <c r="J303" s="91">
        <f t="shared" si="30"/>
        <v>-304.48</v>
      </c>
      <c r="K303" s="91">
        <f>-196.24-102+1.76</f>
        <v>-296.48</v>
      </c>
      <c r="L303" s="89"/>
      <c r="M303" s="83">
        <v>-8</v>
      </c>
      <c r="N303" s="89"/>
      <c r="O303" s="89"/>
      <c r="P303" s="91">
        <v>159.28</v>
      </c>
      <c r="Q303" s="89"/>
      <c r="R303" s="91">
        <v>-71.19</v>
      </c>
      <c r="S303" s="89"/>
      <c r="T303" s="91">
        <v>11297.87</v>
      </c>
      <c r="U303" s="89"/>
      <c r="V303" s="91">
        <v>0</v>
      </c>
      <c r="W303" s="89"/>
      <c r="X303" s="91"/>
      <c r="Y303" s="91"/>
      <c r="Z303" s="91">
        <f t="shared" si="31"/>
        <v>-276760.03000000003</v>
      </c>
      <c r="AA303" s="92">
        <v>-276760.03000000003</v>
      </c>
      <c r="AB303" s="92">
        <f t="shared" si="32"/>
        <v>0</v>
      </c>
    </row>
    <row r="304" spans="1:28" hidden="1" x14ac:dyDescent="0.2">
      <c r="A304" s="109">
        <v>39355</v>
      </c>
      <c r="B304" s="91">
        <v>406</v>
      </c>
      <c r="C304" s="91">
        <v>-7269.4</v>
      </c>
      <c r="D304" s="91"/>
      <c r="E304" s="91"/>
      <c r="F304" s="91"/>
      <c r="G304" s="90">
        <f t="shared" si="33"/>
        <v>7675.4</v>
      </c>
      <c r="H304" s="91">
        <v>98713.07</v>
      </c>
      <c r="I304" s="91"/>
      <c r="J304" s="91">
        <f t="shared" si="30"/>
        <v>89.32</v>
      </c>
      <c r="K304" s="91">
        <v>89.32</v>
      </c>
      <c r="L304" s="89"/>
      <c r="M304" s="83">
        <v>0</v>
      </c>
      <c r="N304" s="89"/>
      <c r="O304" s="89"/>
      <c r="P304" s="91">
        <v>98.11</v>
      </c>
      <c r="Q304" s="89"/>
      <c r="R304" s="91">
        <v>92.45</v>
      </c>
      <c r="S304" s="89"/>
      <c r="T304" s="91">
        <v>12635.91</v>
      </c>
      <c r="U304" s="89"/>
      <c r="V304" s="91">
        <v>0</v>
      </c>
      <c r="W304" s="89"/>
      <c r="X304" s="91"/>
      <c r="Y304" s="91"/>
      <c r="Z304" s="91">
        <f t="shared" si="31"/>
        <v>-103953.46000000002</v>
      </c>
      <c r="AA304" s="92">
        <v>-103953.46</v>
      </c>
      <c r="AB304" s="92">
        <f t="shared" si="32"/>
        <v>0</v>
      </c>
    </row>
    <row r="305" spans="1:28" hidden="1" x14ac:dyDescent="0.2">
      <c r="A305" s="95">
        <v>39447</v>
      </c>
      <c r="B305" s="91">
        <v>-1891</v>
      </c>
      <c r="C305" s="91">
        <v>-3305.82</v>
      </c>
      <c r="D305" s="91">
        <v>0</v>
      </c>
      <c r="E305" s="91">
        <v>1414.82</v>
      </c>
      <c r="F305" s="91">
        <v>0</v>
      </c>
      <c r="G305" s="90">
        <f t="shared" si="33"/>
        <v>1414.8200000000002</v>
      </c>
      <c r="H305" s="91">
        <v>63739.7</v>
      </c>
      <c r="I305" s="91"/>
      <c r="J305" s="91">
        <f t="shared" si="30"/>
        <v>-416.02</v>
      </c>
      <c r="K305" s="91">
        <v>-416.02</v>
      </c>
      <c r="L305" s="89"/>
      <c r="M305" s="83">
        <v>0</v>
      </c>
      <c r="N305" s="89"/>
      <c r="O305" s="89"/>
      <c r="P305" s="91">
        <v>106.04</v>
      </c>
      <c r="Q305" s="89"/>
      <c r="R305" s="91">
        <v>-72.75</v>
      </c>
      <c r="S305" s="89"/>
      <c r="T305" s="91">
        <v>9947.15</v>
      </c>
      <c r="U305" s="89"/>
      <c r="V305" s="91">
        <v>0</v>
      </c>
      <c r="W305" s="89"/>
      <c r="X305" s="91"/>
      <c r="Y305" s="91"/>
      <c r="Z305" s="91">
        <f t="shared" si="31"/>
        <v>-71889.3</v>
      </c>
      <c r="AA305" s="92">
        <v>-71889.3</v>
      </c>
      <c r="AB305" s="92">
        <f t="shared" si="32"/>
        <v>0</v>
      </c>
    </row>
    <row r="306" spans="1:28" hidden="1" x14ac:dyDescent="0.2">
      <c r="A306" s="95">
        <v>39538</v>
      </c>
      <c r="B306" s="91">
        <v>0</v>
      </c>
      <c r="C306" s="91">
        <v>-1611.28</v>
      </c>
      <c r="D306" s="91">
        <v>0</v>
      </c>
      <c r="E306" s="91">
        <v>1611.28</v>
      </c>
      <c r="F306" s="91">
        <v>0</v>
      </c>
      <c r="G306" s="90">
        <f t="shared" si="33"/>
        <v>1611.28</v>
      </c>
      <c r="H306" s="91">
        <v>-13040.48</v>
      </c>
      <c r="I306" s="91"/>
      <c r="J306" s="91">
        <v>0</v>
      </c>
      <c r="K306" s="91">
        <v>0</v>
      </c>
      <c r="L306" s="89"/>
      <c r="M306" s="83">
        <v>0</v>
      </c>
      <c r="N306" s="89"/>
      <c r="O306" s="89"/>
      <c r="P306" s="91">
        <v>-19.760000000000002</v>
      </c>
      <c r="Q306" s="89"/>
      <c r="R306" s="91">
        <v>0</v>
      </c>
      <c r="S306" s="89"/>
      <c r="T306" s="91">
        <v>12901.19</v>
      </c>
      <c r="U306" s="89"/>
      <c r="V306" s="91">
        <v>0</v>
      </c>
      <c r="W306" s="89"/>
      <c r="X306" s="91"/>
      <c r="Y306" s="91"/>
      <c r="Z306" s="91">
        <f t="shared" si="31"/>
        <v>1770.33</v>
      </c>
      <c r="AA306" s="92">
        <v>1770.33</v>
      </c>
      <c r="AB306" s="92">
        <f t="shared" si="32"/>
        <v>0</v>
      </c>
    </row>
    <row r="307" spans="1:28" hidden="1" x14ac:dyDescent="0.2">
      <c r="A307" s="95">
        <v>39629</v>
      </c>
      <c r="B307" s="91">
        <v>0</v>
      </c>
      <c r="C307" s="91">
        <v>-793.53</v>
      </c>
      <c r="D307" s="91">
        <v>0</v>
      </c>
      <c r="E307" s="91">
        <f>B307-C307</f>
        <v>793.53</v>
      </c>
      <c r="F307" s="91">
        <v>0</v>
      </c>
      <c r="G307" s="90">
        <f t="shared" si="33"/>
        <v>793.53</v>
      </c>
      <c r="H307" s="91">
        <v>312852.03000000003</v>
      </c>
      <c r="I307" s="91"/>
      <c r="J307" s="91">
        <v>0</v>
      </c>
      <c r="K307" s="91">
        <v>0</v>
      </c>
      <c r="L307" s="89"/>
      <c r="M307" s="83">
        <v>0</v>
      </c>
      <c r="N307" s="89"/>
      <c r="O307" s="89"/>
      <c r="P307" s="91">
        <v>477.69</v>
      </c>
      <c r="Q307" s="89"/>
      <c r="R307" s="91">
        <v>12.73</v>
      </c>
      <c r="S307" s="89"/>
      <c r="T307" s="91">
        <v>22268.27</v>
      </c>
      <c r="U307" s="89"/>
      <c r="V307" s="91">
        <v>0</v>
      </c>
      <c r="W307" s="89"/>
      <c r="X307" s="91"/>
      <c r="Y307" s="91"/>
      <c r="Z307" s="91">
        <f t="shared" si="31"/>
        <v>-334817.19</v>
      </c>
      <c r="AA307" s="92">
        <v>-334817.19</v>
      </c>
      <c r="AB307" s="92">
        <f t="shared" si="32"/>
        <v>0</v>
      </c>
    </row>
    <row r="308" spans="1:28" hidden="1" x14ac:dyDescent="0.2">
      <c r="A308" s="95">
        <v>39721</v>
      </c>
      <c r="B308" s="91">
        <v>-289</v>
      </c>
      <c r="C308" s="91">
        <v>-2964.88</v>
      </c>
      <c r="D308" s="91">
        <v>0</v>
      </c>
      <c r="E308" s="91">
        <v>2675.88</v>
      </c>
      <c r="F308" s="91">
        <v>0</v>
      </c>
      <c r="G308" s="90">
        <f t="shared" si="33"/>
        <v>2675.88</v>
      </c>
      <c r="H308" s="91">
        <v>485516.92</v>
      </c>
      <c r="I308" s="91"/>
      <c r="J308" s="91">
        <v>31.58</v>
      </c>
      <c r="K308" s="91">
        <v>-90.42</v>
      </c>
      <c r="L308" s="89"/>
      <c r="M308" s="83">
        <v>122</v>
      </c>
      <c r="N308" s="89"/>
      <c r="O308" s="89"/>
      <c r="P308" s="91">
        <v>737.62</v>
      </c>
      <c r="Q308" s="89"/>
      <c r="R308" s="91">
        <v>-48</v>
      </c>
      <c r="S308" s="89"/>
      <c r="T308" s="91">
        <v>5017.75</v>
      </c>
      <c r="U308" s="89"/>
      <c r="V308" s="91">
        <v>0</v>
      </c>
      <c r="W308" s="89"/>
      <c r="X308" s="91"/>
      <c r="Y308" s="91"/>
      <c r="Z308" s="91">
        <f t="shared" si="31"/>
        <v>-488579.99</v>
      </c>
      <c r="AA308" s="92">
        <v>-488579.99</v>
      </c>
      <c r="AB308" s="92">
        <f t="shared" si="32"/>
        <v>0</v>
      </c>
    </row>
    <row r="309" spans="1:28" hidden="1" x14ac:dyDescent="0.2">
      <c r="A309" s="95">
        <v>39813</v>
      </c>
      <c r="B309" s="91">
        <v>-412</v>
      </c>
      <c r="C309" s="91">
        <v>162.53</v>
      </c>
      <c r="D309" s="91">
        <v>0</v>
      </c>
      <c r="E309" s="91">
        <f t="shared" ref="E309:E323" si="34">B309-C309</f>
        <v>-574.53</v>
      </c>
      <c r="F309" s="91">
        <v>0</v>
      </c>
      <c r="G309" s="90">
        <f t="shared" si="33"/>
        <v>-574.53</v>
      </c>
      <c r="H309" s="91">
        <v>-191523.12</v>
      </c>
      <c r="I309" s="91"/>
      <c r="J309" s="91">
        <v>-259.12</v>
      </c>
      <c r="K309" s="91">
        <v>-43.12</v>
      </c>
      <c r="L309" s="89"/>
      <c r="M309" s="83">
        <v>-216</v>
      </c>
      <c r="N309" s="89"/>
      <c r="O309" s="89"/>
      <c r="P309" s="91">
        <v>-278.67</v>
      </c>
      <c r="Q309" s="89"/>
      <c r="R309" s="91">
        <v>-66.569999999999993</v>
      </c>
      <c r="S309" s="89"/>
      <c r="T309" s="91">
        <v>5770.25</v>
      </c>
      <c r="U309" s="89"/>
      <c r="V309" s="91">
        <v>0</v>
      </c>
      <c r="W309" s="89"/>
      <c r="X309" s="91"/>
      <c r="Y309" s="91"/>
      <c r="Z309" s="91">
        <f t="shared" si="31"/>
        <v>185782.7</v>
      </c>
      <c r="AA309" s="92">
        <v>185814.7</v>
      </c>
      <c r="AB309" s="92">
        <f t="shared" si="32"/>
        <v>-32</v>
      </c>
    </row>
    <row r="310" spans="1:28" hidden="1" x14ac:dyDescent="0.2">
      <c r="A310" s="95">
        <v>39903</v>
      </c>
      <c r="B310" s="91">
        <v>0</v>
      </c>
      <c r="C310" s="91">
        <v>-1764.52</v>
      </c>
      <c r="D310" s="91">
        <v>0</v>
      </c>
      <c r="E310" s="91">
        <f t="shared" si="34"/>
        <v>1764.52</v>
      </c>
      <c r="F310" s="91">
        <v>0</v>
      </c>
      <c r="G310" s="90">
        <f t="shared" si="33"/>
        <v>1764.52</v>
      </c>
      <c r="H310" s="91">
        <v>193749.6</v>
      </c>
      <c r="I310" s="91"/>
      <c r="J310" s="91">
        <v>0</v>
      </c>
      <c r="K310" s="91">
        <v>0</v>
      </c>
      <c r="L310" s="89"/>
      <c r="M310" s="83">
        <v>0</v>
      </c>
      <c r="N310" s="89"/>
      <c r="O310" s="89"/>
      <c r="P310" s="91">
        <v>131.69999999999999</v>
      </c>
      <c r="Q310" s="89"/>
      <c r="R310" s="91">
        <v>78.63</v>
      </c>
      <c r="S310" s="89"/>
      <c r="T310" s="91">
        <v>8238.76</v>
      </c>
      <c r="U310" s="89"/>
      <c r="V310" s="91">
        <v>0</v>
      </c>
      <c r="W310" s="89"/>
      <c r="X310" s="91"/>
      <c r="Y310" s="91"/>
      <c r="Z310" s="91">
        <f t="shared" si="31"/>
        <v>-200434.17000000004</v>
      </c>
      <c r="AA310" s="92">
        <v>-200434.17</v>
      </c>
      <c r="AB310" s="92">
        <f t="shared" si="32"/>
        <v>0</v>
      </c>
    </row>
    <row r="311" spans="1:28" hidden="1" x14ac:dyDescent="0.2">
      <c r="A311" s="95">
        <v>39994</v>
      </c>
      <c r="B311" s="91">
        <v>118088</v>
      </c>
      <c r="C311" s="91">
        <v>128596.48</v>
      </c>
      <c r="D311" s="91">
        <v>0</v>
      </c>
      <c r="E311" s="91">
        <f t="shared" si="34"/>
        <v>-10508.479999999996</v>
      </c>
      <c r="F311" s="91">
        <v>0</v>
      </c>
      <c r="G311" s="90">
        <f t="shared" si="33"/>
        <v>-10508.479999999996</v>
      </c>
      <c r="H311" s="91">
        <v>24386.97</v>
      </c>
      <c r="I311" s="91"/>
      <c r="J311" s="91">
        <v>25979.360000000001</v>
      </c>
      <c r="K311" s="91">
        <v>25979.360000000001</v>
      </c>
      <c r="L311" s="89"/>
      <c r="M311" s="83">
        <v>0</v>
      </c>
      <c r="N311" s="89"/>
      <c r="O311" s="89"/>
      <c r="P311" s="91">
        <v>25.12</v>
      </c>
      <c r="Q311" s="89"/>
      <c r="R311" s="91">
        <v>-213</v>
      </c>
      <c r="S311" s="89"/>
      <c r="T311" s="91">
        <v>9774.6200000000008</v>
      </c>
      <c r="U311" s="89"/>
      <c r="V311" s="91">
        <v>0</v>
      </c>
      <c r="W311" s="89"/>
      <c r="X311" s="91"/>
      <c r="Y311" s="91"/>
      <c r="Z311" s="91">
        <f t="shared" si="31"/>
        <v>-70461.55</v>
      </c>
      <c r="AA311" s="92">
        <v>-70461.55</v>
      </c>
      <c r="AB311" s="92">
        <f t="shared" si="32"/>
        <v>0</v>
      </c>
    </row>
    <row r="312" spans="1:28" hidden="1" x14ac:dyDescent="0.2">
      <c r="A312" s="95">
        <v>40086</v>
      </c>
      <c r="B312" s="91">
        <v>0</v>
      </c>
      <c r="C312" s="91">
        <v>-453.54</v>
      </c>
      <c r="D312" s="91">
        <v>0</v>
      </c>
      <c r="E312" s="91">
        <f t="shared" si="34"/>
        <v>453.54</v>
      </c>
      <c r="F312" s="91">
        <v>0</v>
      </c>
      <c r="G312" s="90">
        <f t="shared" si="33"/>
        <v>453.54</v>
      </c>
      <c r="H312" s="91">
        <v>41680.85</v>
      </c>
      <c r="I312" s="91"/>
      <c r="J312" s="91">
        <v>0</v>
      </c>
      <c r="K312" s="91">
        <v>0</v>
      </c>
      <c r="L312" s="89"/>
      <c r="M312" s="83">
        <v>0</v>
      </c>
      <c r="N312" s="89"/>
      <c r="O312" s="89"/>
      <c r="P312" s="91">
        <v>12.65</v>
      </c>
      <c r="Q312" s="89"/>
      <c r="R312" s="91">
        <v>0</v>
      </c>
      <c r="S312" s="89"/>
      <c r="T312" s="91">
        <v>4462.84</v>
      </c>
      <c r="U312" s="89"/>
      <c r="V312" s="91">
        <v>0</v>
      </c>
      <c r="W312" s="89"/>
      <c r="X312" s="91"/>
      <c r="Y312" s="91"/>
      <c r="Z312" s="91">
        <f t="shared" si="31"/>
        <v>-45702.8</v>
      </c>
      <c r="AA312" s="92">
        <v>-45702.8</v>
      </c>
      <c r="AB312" s="92">
        <f t="shared" si="32"/>
        <v>0</v>
      </c>
    </row>
    <row r="313" spans="1:28" hidden="1" x14ac:dyDescent="0.2">
      <c r="A313" s="95">
        <v>40178</v>
      </c>
      <c r="B313" s="91">
        <v>142590</v>
      </c>
      <c r="C313" s="91">
        <v>138398</v>
      </c>
      <c r="D313" s="91">
        <v>0</v>
      </c>
      <c r="E313" s="91">
        <f t="shared" si="34"/>
        <v>4192</v>
      </c>
      <c r="F313" s="91">
        <v>0</v>
      </c>
      <c r="G313" s="90">
        <f t="shared" si="33"/>
        <v>4192</v>
      </c>
      <c r="H313" s="91">
        <v>12746</v>
      </c>
      <c r="I313" s="91"/>
      <c r="J313" s="91">
        <v>29762.04</v>
      </c>
      <c r="K313" s="91">
        <v>29762.04</v>
      </c>
      <c r="L313" s="89"/>
      <c r="M313" s="83">
        <v>0</v>
      </c>
      <c r="N313" s="89"/>
      <c r="O313" s="89"/>
      <c r="P313" s="91">
        <v>1.62</v>
      </c>
      <c r="Q313" s="89"/>
      <c r="R313" s="91">
        <v>6175.97</v>
      </c>
      <c r="S313" s="89"/>
      <c r="T313" s="91">
        <v>6708.99</v>
      </c>
      <c r="U313" s="89"/>
      <c r="V313" s="91">
        <v>0</v>
      </c>
      <c r="W313" s="89"/>
      <c r="X313" s="91"/>
      <c r="Y313" s="91"/>
      <c r="Z313" s="91">
        <f t="shared" si="31"/>
        <v>-51202.62</v>
      </c>
      <c r="AA313" s="92">
        <v>-51202.62</v>
      </c>
      <c r="AB313" s="92">
        <f t="shared" si="32"/>
        <v>0</v>
      </c>
    </row>
    <row r="314" spans="1:28" hidden="1" x14ac:dyDescent="0.2">
      <c r="A314" s="140">
        <v>40268</v>
      </c>
      <c r="B314" s="91">
        <v>0</v>
      </c>
      <c r="C314" s="91">
        <v>-5014.1400000000003</v>
      </c>
      <c r="D314" s="91">
        <v>0</v>
      </c>
      <c r="E314" s="91">
        <f t="shared" si="34"/>
        <v>5014.1400000000003</v>
      </c>
      <c r="F314" s="91">
        <v>0</v>
      </c>
      <c r="G314" s="90">
        <f t="shared" si="33"/>
        <v>5014.1400000000003</v>
      </c>
      <c r="H314" s="91">
        <v>276191.48</v>
      </c>
      <c r="I314" s="91"/>
      <c r="J314" s="91">
        <v>0</v>
      </c>
      <c r="K314" s="91">
        <v>0</v>
      </c>
      <c r="L314" s="89"/>
      <c r="M314" s="83">
        <v>0</v>
      </c>
      <c r="N314" s="89"/>
      <c r="O314" s="89"/>
      <c r="P314" s="91">
        <v>35.520000000000003</v>
      </c>
      <c r="Q314" s="89"/>
      <c r="R314" s="91">
        <v>-5472.77</v>
      </c>
      <c r="S314" s="89"/>
      <c r="T314" s="91">
        <v>5069.2299999999996</v>
      </c>
      <c r="U314" s="89"/>
      <c r="V314" s="91">
        <v>0</v>
      </c>
      <c r="W314" s="89"/>
      <c r="X314" s="91"/>
      <c r="Y314" s="91"/>
      <c r="Z314" s="91">
        <f t="shared" si="31"/>
        <v>-270809.31999999995</v>
      </c>
      <c r="AA314" s="92">
        <v>-270809.32</v>
      </c>
      <c r="AB314" s="92">
        <f t="shared" si="32"/>
        <v>0</v>
      </c>
    </row>
    <row r="315" spans="1:28" hidden="1" x14ac:dyDescent="0.2">
      <c r="A315" s="95">
        <v>40359</v>
      </c>
      <c r="B315" s="91">
        <v>0</v>
      </c>
      <c r="C315" s="91">
        <v>-200</v>
      </c>
      <c r="D315" s="91">
        <v>0</v>
      </c>
      <c r="E315" s="91">
        <f t="shared" si="34"/>
        <v>200</v>
      </c>
      <c r="F315" s="91">
        <v>0</v>
      </c>
      <c r="G315" s="90">
        <f t="shared" si="33"/>
        <v>200</v>
      </c>
      <c r="H315" s="91">
        <v>132380.87</v>
      </c>
      <c r="I315" s="91"/>
      <c r="J315" s="91">
        <v>0</v>
      </c>
      <c r="K315" s="91">
        <v>0</v>
      </c>
      <c r="L315" s="89"/>
      <c r="M315" s="83">
        <v>0</v>
      </c>
      <c r="N315" s="89"/>
      <c r="O315" s="89"/>
      <c r="P315" s="91">
        <v>-7.0000000000000007E-2</v>
      </c>
      <c r="Q315" s="89"/>
      <c r="R315" s="91">
        <v>8.19</v>
      </c>
      <c r="S315" s="89"/>
      <c r="T315" s="91">
        <v>4762.97</v>
      </c>
      <c r="U315" s="89"/>
      <c r="V315" s="91">
        <v>0</v>
      </c>
      <c r="W315" s="89"/>
      <c r="X315" s="91"/>
      <c r="Y315" s="91"/>
      <c r="Z315" s="91">
        <f t="shared" si="31"/>
        <v>-136951.96</v>
      </c>
      <c r="AA315" s="92">
        <v>-136951.96</v>
      </c>
      <c r="AB315" s="92">
        <f t="shared" si="32"/>
        <v>0</v>
      </c>
    </row>
    <row r="316" spans="1:28" hidden="1" x14ac:dyDescent="0.2">
      <c r="A316" s="140">
        <v>40451</v>
      </c>
      <c r="B316" s="91">
        <v>0</v>
      </c>
      <c r="C316" s="91">
        <v>-2859.97</v>
      </c>
      <c r="D316" s="91">
        <v>0</v>
      </c>
      <c r="E316" s="91">
        <f t="shared" si="34"/>
        <v>2859.97</v>
      </c>
      <c r="F316" s="91">
        <v>0</v>
      </c>
      <c r="G316" s="90">
        <f t="shared" si="33"/>
        <v>2859.97</v>
      </c>
      <c r="H316" s="91">
        <v>47298.75</v>
      </c>
      <c r="I316" s="91"/>
      <c r="J316" s="91">
        <v>0</v>
      </c>
      <c r="K316" s="91">
        <v>0</v>
      </c>
      <c r="L316" s="89"/>
      <c r="M316" s="83">
        <v>0</v>
      </c>
      <c r="N316" s="89"/>
      <c r="O316" s="89">
        <v>0</v>
      </c>
      <c r="P316" s="91">
        <v>-2.98</v>
      </c>
      <c r="Q316" s="89"/>
      <c r="R316" s="91">
        <v>9.26</v>
      </c>
      <c r="S316" s="89"/>
      <c r="T316" s="91">
        <v>20975.200000000001</v>
      </c>
      <c r="U316" s="89"/>
      <c r="V316" s="91">
        <v>0</v>
      </c>
      <c r="W316" s="89"/>
      <c r="X316" s="91"/>
      <c r="Y316" s="91"/>
      <c r="Z316" s="91">
        <f t="shared" si="31"/>
        <v>-65420.259999999995</v>
      </c>
      <c r="AA316" s="92">
        <v>-65420.26</v>
      </c>
      <c r="AB316" s="92">
        <f t="shared" si="32"/>
        <v>0</v>
      </c>
    </row>
    <row r="317" spans="1:28" hidden="1" x14ac:dyDescent="0.2">
      <c r="A317" s="140">
        <v>40543</v>
      </c>
      <c r="B317" s="91">
        <v>0</v>
      </c>
      <c r="C317" s="91">
        <v>-83.87</v>
      </c>
      <c r="D317" s="91">
        <v>0</v>
      </c>
      <c r="E317" s="91">
        <f t="shared" si="34"/>
        <v>83.87</v>
      </c>
      <c r="F317" s="91">
        <v>0</v>
      </c>
      <c r="G317" s="90">
        <f t="shared" si="33"/>
        <v>83.87</v>
      </c>
      <c r="H317" s="91">
        <v>13848.99</v>
      </c>
      <c r="I317" s="91"/>
      <c r="J317" s="91">
        <v>0</v>
      </c>
      <c r="K317" s="91">
        <v>0</v>
      </c>
      <c r="L317" s="89"/>
      <c r="M317" s="83">
        <v>0</v>
      </c>
      <c r="N317" s="89"/>
      <c r="O317" s="89">
        <v>0</v>
      </c>
      <c r="P317" s="91">
        <v>7.31</v>
      </c>
      <c r="Q317" s="89"/>
      <c r="R317" s="91">
        <v>552.23</v>
      </c>
      <c r="S317" s="89"/>
      <c r="T317" s="91">
        <v>2317.56</v>
      </c>
      <c r="U317" s="89"/>
      <c r="V317" s="91">
        <v>0</v>
      </c>
      <c r="W317" s="89"/>
      <c r="X317" s="91"/>
      <c r="Y317" s="91"/>
      <c r="Z317" s="91">
        <f t="shared" si="31"/>
        <v>-16642.219999999998</v>
      </c>
      <c r="AA317" s="92">
        <v>-16642.22</v>
      </c>
      <c r="AB317" s="92">
        <f t="shared" si="32"/>
        <v>0</v>
      </c>
    </row>
    <row r="318" spans="1:28" hidden="1" x14ac:dyDescent="0.2">
      <c r="A318" s="288">
        <v>40633</v>
      </c>
      <c r="B318" s="91">
        <v>0</v>
      </c>
      <c r="C318" s="91">
        <v>-283.87</v>
      </c>
      <c r="D318" s="91">
        <v>0</v>
      </c>
      <c r="E318" s="91">
        <f t="shared" si="34"/>
        <v>283.87</v>
      </c>
      <c r="F318" s="91">
        <v>0</v>
      </c>
      <c r="G318" s="90">
        <f t="shared" si="33"/>
        <v>283.87</v>
      </c>
      <c r="H318" s="91">
        <v>11805.25</v>
      </c>
      <c r="I318" s="91"/>
      <c r="J318" s="91">
        <v>0</v>
      </c>
      <c r="K318" s="91">
        <v>0</v>
      </c>
      <c r="L318" s="89"/>
      <c r="M318" s="83">
        <v>0</v>
      </c>
      <c r="N318" s="89"/>
      <c r="O318" s="89">
        <v>0</v>
      </c>
      <c r="P318" s="91">
        <v>0.09</v>
      </c>
      <c r="Q318" s="89"/>
      <c r="R318" s="91">
        <v>12.48</v>
      </c>
      <c r="S318" s="89"/>
      <c r="T318" s="91">
        <v>2886.61</v>
      </c>
      <c r="U318" s="89"/>
      <c r="V318" s="91">
        <v>0</v>
      </c>
      <c r="W318" s="89"/>
      <c r="X318" s="91"/>
      <c r="Y318" s="91"/>
      <c r="Z318" s="91">
        <f t="shared" si="31"/>
        <v>-14420.56</v>
      </c>
      <c r="AA318" s="92">
        <v>-14420.56</v>
      </c>
      <c r="AB318" s="92">
        <f t="shared" si="32"/>
        <v>0</v>
      </c>
    </row>
    <row r="319" spans="1:28" hidden="1" x14ac:dyDescent="0.2">
      <c r="A319" s="288">
        <v>40724</v>
      </c>
      <c r="B319" s="91">
        <v>0</v>
      </c>
      <c r="C319" s="91">
        <v>0</v>
      </c>
      <c r="D319" s="91">
        <v>0</v>
      </c>
      <c r="E319" s="91">
        <f t="shared" si="34"/>
        <v>0</v>
      </c>
      <c r="F319" s="91">
        <v>0</v>
      </c>
      <c r="G319" s="90">
        <f t="shared" si="33"/>
        <v>0</v>
      </c>
      <c r="H319" s="91">
        <v>26843.02</v>
      </c>
      <c r="I319" s="91"/>
      <c r="J319" s="91">
        <v>0</v>
      </c>
      <c r="K319" s="91">
        <v>0</v>
      </c>
      <c r="L319" s="89"/>
      <c r="M319" s="83">
        <v>0</v>
      </c>
      <c r="N319" s="89"/>
      <c r="O319" s="89"/>
      <c r="P319" s="91">
        <v>7.71</v>
      </c>
      <c r="Q319" s="89"/>
      <c r="R319" s="91">
        <v>0</v>
      </c>
      <c r="S319" s="89"/>
      <c r="T319" s="91">
        <v>5713.41</v>
      </c>
      <c r="U319" s="89"/>
      <c r="V319" s="91">
        <v>0</v>
      </c>
      <c r="W319" s="89"/>
      <c r="X319" s="91"/>
      <c r="Y319" s="91"/>
      <c r="Z319" s="91">
        <f t="shared" si="31"/>
        <v>-32564.14</v>
      </c>
      <c r="AA319" s="92">
        <v>-32564.14</v>
      </c>
      <c r="AB319" s="92">
        <f t="shared" si="32"/>
        <v>0</v>
      </c>
    </row>
    <row r="320" spans="1:28" hidden="1" x14ac:dyDescent="0.2">
      <c r="A320" s="288">
        <v>40816</v>
      </c>
      <c r="B320" s="91">
        <v>0</v>
      </c>
      <c r="C320" s="91">
        <v>-20.97</v>
      </c>
      <c r="D320" s="91">
        <v>0</v>
      </c>
      <c r="E320" s="91">
        <f t="shared" si="34"/>
        <v>20.97</v>
      </c>
      <c r="F320" s="91">
        <v>0</v>
      </c>
      <c r="G320" s="90">
        <f t="shared" si="33"/>
        <v>20.97</v>
      </c>
      <c r="H320" s="91">
        <v>17838.7</v>
      </c>
      <c r="I320" s="91"/>
      <c r="J320" s="91">
        <v>0</v>
      </c>
      <c r="K320" s="91">
        <v>0</v>
      </c>
      <c r="L320" s="89"/>
      <c r="M320" s="83">
        <v>0</v>
      </c>
      <c r="N320" s="89"/>
      <c r="O320" s="89"/>
      <c r="P320" s="91">
        <v>0.52</v>
      </c>
      <c r="Q320" s="89"/>
      <c r="R320" s="91">
        <v>0.81</v>
      </c>
      <c r="S320" s="89"/>
      <c r="T320" s="91">
        <v>5230.3999999999996</v>
      </c>
      <c r="U320" s="89"/>
      <c r="V320" s="91">
        <v>0</v>
      </c>
      <c r="W320" s="89"/>
      <c r="X320" s="91"/>
      <c r="Y320" s="91"/>
      <c r="Z320" s="91">
        <f t="shared" si="31"/>
        <v>-23049.46</v>
      </c>
      <c r="AA320" s="92">
        <v>-23049.46</v>
      </c>
      <c r="AB320" s="92">
        <f t="shared" si="32"/>
        <v>0</v>
      </c>
    </row>
    <row r="321" spans="1:28" hidden="1" x14ac:dyDescent="0.2">
      <c r="A321" s="288">
        <v>40908</v>
      </c>
      <c r="B321" s="91">
        <v>0</v>
      </c>
      <c r="C321" s="91">
        <v>-41.93</v>
      </c>
      <c r="D321" s="91">
        <v>0</v>
      </c>
      <c r="E321" s="91">
        <f t="shared" si="34"/>
        <v>41.93</v>
      </c>
      <c r="F321" s="91">
        <v>0</v>
      </c>
      <c r="G321" s="90">
        <f t="shared" si="33"/>
        <v>41.93</v>
      </c>
      <c r="H321" s="91">
        <v>180511.51</v>
      </c>
      <c r="I321" s="91"/>
      <c r="J321" s="91">
        <v>0</v>
      </c>
      <c r="K321" s="91">
        <v>0</v>
      </c>
      <c r="L321" s="89"/>
      <c r="M321" s="83">
        <v>0</v>
      </c>
      <c r="N321" s="89"/>
      <c r="O321" s="89">
        <v>0</v>
      </c>
      <c r="P321" s="91">
        <v>1.25</v>
      </c>
      <c r="Q321" s="89"/>
      <c r="R321" s="91">
        <v>1.61</v>
      </c>
      <c r="S321" s="89"/>
      <c r="T321" s="91">
        <v>2041.39</v>
      </c>
      <c r="U321" s="89"/>
      <c r="V321" s="91">
        <v>0</v>
      </c>
      <c r="W321" s="89"/>
      <c r="X321" s="91"/>
      <c r="Y321" s="91"/>
      <c r="Z321" s="91">
        <f t="shared" si="31"/>
        <v>-182513.83000000002</v>
      </c>
      <c r="AA321" s="92">
        <v>-182513.83</v>
      </c>
      <c r="AB321" s="92">
        <f t="shared" si="32"/>
        <v>0</v>
      </c>
    </row>
    <row r="322" spans="1:28" hidden="1" x14ac:dyDescent="0.2">
      <c r="A322" s="288">
        <v>40999</v>
      </c>
      <c r="B322" s="91">
        <v>0</v>
      </c>
      <c r="C322" s="91">
        <v>-41.94</v>
      </c>
      <c r="D322" s="91">
        <v>0</v>
      </c>
      <c r="E322" s="91">
        <f t="shared" si="34"/>
        <v>41.94</v>
      </c>
      <c r="F322" s="91">
        <v>0</v>
      </c>
      <c r="G322" s="90">
        <f t="shared" si="33"/>
        <v>41.94</v>
      </c>
      <c r="H322" s="91">
        <v>9520.68</v>
      </c>
      <c r="I322" s="91"/>
      <c r="J322" s="91">
        <v>0</v>
      </c>
      <c r="K322" s="91">
        <v>0</v>
      </c>
      <c r="L322" s="89"/>
      <c r="M322" s="83">
        <v>0</v>
      </c>
      <c r="N322" s="89"/>
      <c r="O322" s="89">
        <v>0</v>
      </c>
      <c r="P322" s="91">
        <v>0</v>
      </c>
      <c r="Q322" s="89"/>
      <c r="R322" s="91">
        <v>1.62</v>
      </c>
      <c r="S322" s="89"/>
      <c r="T322" s="91">
        <v>2290.87</v>
      </c>
      <c r="U322" s="89"/>
      <c r="V322" s="91">
        <v>0</v>
      </c>
      <c r="W322" s="89"/>
      <c r="X322" s="91"/>
      <c r="Y322" s="91"/>
      <c r="Z322" s="91">
        <f t="shared" si="31"/>
        <v>-11771.23</v>
      </c>
      <c r="AA322" s="92">
        <v>-11771.23</v>
      </c>
      <c r="AB322" s="92">
        <f t="shared" si="32"/>
        <v>0</v>
      </c>
    </row>
    <row r="323" spans="1:28" hidden="1" x14ac:dyDescent="0.2">
      <c r="A323" s="288">
        <v>41090</v>
      </c>
      <c r="B323" s="91">
        <v>0</v>
      </c>
      <c r="C323" s="91">
        <v>-111.82</v>
      </c>
      <c r="D323" s="91">
        <v>0</v>
      </c>
      <c r="E323" s="91">
        <f t="shared" si="34"/>
        <v>111.82</v>
      </c>
      <c r="F323" s="91">
        <v>0</v>
      </c>
      <c r="G323" s="90">
        <f t="shared" si="33"/>
        <v>111.82</v>
      </c>
      <c r="H323" s="91">
        <v>9058.18</v>
      </c>
      <c r="I323" s="91"/>
      <c r="J323" s="91">
        <v>0</v>
      </c>
      <c r="K323" s="91">
        <v>0</v>
      </c>
      <c r="L323" s="89"/>
      <c r="M323" s="83">
        <v>0</v>
      </c>
      <c r="N323" s="89"/>
      <c r="O323" s="89">
        <v>0</v>
      </c>
      <c r="P323" s="91">
        <v>0</v>
      </c>
      <c r="Q323" s="89"/>
      <c r="R323" s="91">
        <v>4.3</v>
      </c>
      <c r="S323" s="89"/>
      <c r="T323" s="91">
        <v>2390.35</v>
      </c>
      <c r="U323" s="89"/>
      <c r="V323" s="91">
        <v>0</v>
      </c>
      <c r="W323" s="89"/>
      <c r="X323" s="91"/>
      <c r="Y323" s="91"/>
      <c r="Z323" s="91">
        <f t="shared" si="31"/>
        <v>-11341.01</v>
      </c>
      <c r="AA323" s="92">
        <v>-11341.01</v>
      </c>
      <c r="AB323" s="92">
        <f t="shared" si="32"/>
        <v>0</v>
      </c>
    </row>
    <row r="324" spans="1:28" hidden="1" x14ac:dyDescent="0.2">
      <c r="A324" s="95"/>
      <c r="B324" s="96">
        <f t="shared" ref="B324:H324" si="35">SUM(B278:B323)</f>
        <v>39165217</v>
      </c>
      <c r="C324" s="96">
        <f t="shared" si="35"/>
        <v>2545113.1500000013</v>
      </c>
      <c r="D324" s="96">
        <f t="shared" si="35"/>
        <v>0</v>
      </c>
      <c r="E324" s="96">
        <f t="shared" si="35"/>
        <v>10481.070000000005</v>
      </c>
      <c r="F324" s="96">
        <f t="shared" si="35"/>
        <v>0</v>
      </c>
      <c r="G324" s="96">
        <f t="shared" si="35"/>
        <v>36620103.849999994</v>
      </c>
      <c r="H324" s="96">
        <f t="shared" si="35"/>
        <v>22423147.040000007</v>
      </c>
      <c r="I324" s="96">
        <f>SUM(I278:I319)</f>
        <v>0</v>
      </c>
      <c r="J324" s="96">
        <f>SUM(J278:J323)</f>
        <v>10385832.07</v>
      </c>
      <c r="K324" s="96">
        <f>SUM(K278:K323)</f>
        <v>7709475.0700000012</v>
      </c>
      <c r="L324" s="97">
        <f>K324/G324</f>
        <v>0.21052575660568484</v>
      </c>
      <c r="M324" s="96">
        <f>SUM(M278:M323)</f>
        <v>2676357</v>
      </c>
      <c r="N324" s="96">
        <f>M324/G324</f>
        <v>7.3084364013893982E-2</v>
      </c>
      <c r="O324" s="96">
        <f>SUM(O278:O315)</f>
        <v>0</v>
      </c>
      <c r="P324" s="96">
        <f>SUM(P278:P323)</f>
        <v>1414206.3900000004</v>
      </c>
      <c r="Q324" s="96">
        <f>SUM(Q278:Q319)</f>
        <v>0</v>
      </c>
      <c r="R324" s="96">
        <f>SUM(R278:R323)</f>
        <v>1753531.7600000007</v>
      </c>
      <c r="S324" s="96">
        <f>SUM(S278:S319)</f>
        <v>0</v>
      </c>
      <c r="T324" s="96">
        <f>SUM(T278:T323)</f>
        <v>2568034.7700000019</v>
      </c>
      <c r="U324" s="96">
        <f>SUM(U278:U319)</f>
        <v>0</v>
      </c>
      <c r="V324" s="96">
        <f>SUM(V278:V323)</f>
        <v>106937.79000000001</v>
      </c>
      <c r="W324" s="96">
        <f>SUM(W278:W319)</f>
        <v>0</v>
      </c>
      <c r="X324" s="96">
        <f>SUM(X278:X319)</f>
        <v>1748000</v>
      </c>
      <c r="Y324" s="96">
        <f>SUM(Y278:Y319)</f>
        <v>0</v>
      </c>
      <c r="Z324" s="96">
        <f>SUM(Z278:Z323)</f>
        <v>-1817710.3899999983</v>
      </c>
    </row>
    <row r="325" spans="1:28" hidden="1" x14ac:dyDescent="0.2">
      <c r="A325" s="98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100"/>
      <c r="M325" s="100"/>
      <c r="N325" s="100"/>
      <c r="O325" s="100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101">
        <f>G324-H324-J324-P324-R324-T324+V324</f>
        <v>-1817710.390000016</v>
      </c>
    </row>
    <row r="326" spans="1:28" hidden="1" x14ac:dyDescent="0.2">
      <c r="A326" s="82" t="s">
        <v>127</v>
      </c>
      <c r="Z326" s="102" t="str">
        <f>IF(ROUND(Z325,2)=ROUND(Z324,2),"Check","NO")</f>
        <v>Check</v>
      </c>
    </row>
    <row r="327" spans="1:28" ht="38.25" hidden="1" x14ac:dyDescent="0.2">
      <c r="A327" s="86" t="s">
        <v>143</v>
      </c>
      <c r="B327" s="87" t="s">
        <v>144</v>
      </c>
      <c r="C327" s="87" t="s">
        <v>145</v>
      </c>
      <c r="D327" s="87" t="s">
        <v>170</v>
      </c>
      <c r="E327" s="87" t="s">
        <v>171</v>
      </c>
      <c r="F327" s="87" t="s">
        <v>172</v>
      </c>
      <c r="G327" s="87" t="s">
        <v>146</v>
      </c>
      <c r="H327" s="87" t="s">
        <v>147</v>
      </c>
      <c r="I327" s="87" t="s">
        <v>148</v>
      </c>
      <c r="J327" s="87" t="s">
        <v>169</v>
      </c>
      <c r="K327" s="87" t="s">
        <v>136</v>
      </c>
      <c r="L327" s="87" t="s">
        <v>149</v>
      </c>
      <c r="M327" s="87" t="s">
        <v>163</v>
      </c>
      <c r="N327" s="87" t="s">
        <v>164</v>
      </c>
      <c r="O327" s="87" t="s">
        <v>207</v>
      </c>
      <c r="P327" s="87" t="s">
        <v>150</v>
      </c>
      <c r="Q327" s="87" t="s">
        <v>151</v>
      </c>
      <c r="R327" s="87" t="s">
        <v>152</v>
      </c>
      <c r="S327" s="87" t="s">
        <v>153</v>
      </c>
      <c r="T327" s="87" t="s">
        <v>154</v>
      </c>
      <c r="U327" s="87" t="s">
        <v>155</v>
      </c>
      <c r="V327" s="87" t="s">
        <v>156</v>
      </c>
      <c r="W327" s="87" t="s">
        <v>157</v>
      </c>
      <c r="X327" s="87" t="s">
        <v>165</v>
      </c>
      <c r="Y327" s="87" t="s">
        <v>166</v>
      </c>
      <c r="Z327" s="110" t="s">
        <v>158</v>
      </c>
      <c r="AA327" s="87" t="s">
        <v>173</v>
      </c>
      <c r="AB327" s="87" t="s">
        <v>175</v>
      </c>
    </row>
    <row r="328" spans="1:28" hidden="1" x14ac:dyDescent="0.2">
      <c r="A328" s="111">
        <v>37346</v>
      </c>
      <c r="B328" s="91">
        <v>9378239.5899999999</v>
      </c>
      <c r="C328" s="91">
        <v>0</v>
      </c>
      <c r="D328" s="89"/>
      <c r="E328" s="89"/>
      <c r="F328" s="89"/>
      <c r="G328" s="90">
        <f>B328-C328</f>
        <v>9378239.5899999999</v>
      </c>
      <c r="H328" s="91">
        <v>30847.31</v>
      </c>
      <c r="I328" s="91"/>
      <c r="J328" s="91">
        <f>K328+M328</f>
        <v>2555120.17</v>
      </c>
      <c r="K328" s="90">
        <v>1736915.42</v>
      </c>
      <c r="L328" s="112"/>
      <c r="M328" s="89">
        <v>818204.75</v>
      </c>
      <c r="N328" s="103"/>
      <c r="O328" s="103"/>
      <c r="P328" s="91">
        <v>285398.69</v>
      </c>
      <c r="Q328" s="112"/>
      <c r="R328" s="91">
        <v>475258.44</v>
      </c>
      <c r="S328" s="113"/>
      <c r="T328" s="91">
        <v>1727.92</v>
      </c>
      <c r="U328" s="113"/>
      <c r="V328" s="91">
        <v>8901.24</v>
      </c>
      <c r="W328" s="113"/>
      <c r="X328" s="107"/>
      <c r="Y328" s="107"/>
      <c r="Z328" s="90">
        <f>G328-H328-J328-P328-R328-T328+V328</f>
        <v>6038788.2999999989</v>
      </c>
      <c r="AA328" s="92">
        <v>6038788.2999999998</v>
      </c>
      <c r="AB328" s="92">
        <f t="shared" ref="AB328:AB370" si="36">Z328-AA328</f>
        <v>0</v>
      </c>
    </row>
    <row r="329" spans="1:28" hidden="1" x14ac:dyDescent="0.2">
      <c r="A329" s="93">
        <v>37437</v>
      </c>
      <c r="B329" s="91">
        <v>15638411.109999999</v>
      </c>
      <c r="C329" s="91">
        <v>0</v>
      </c>
      <c r="D329" s="89"/>
      <c r="E329" s="89"/>
      <c r="F329" s="89"/>
      <c r="G329" s="90">
        <f t="shared" ref="G329:G370" si="37">B329-C329</f>
        <v>15638411.109999999</v>
      </c>
      <c r="H329" s="91">
        <v>383480.15</v>
      </c>
      <c r="I329" s="91"/>
      <c r="J329" s="91">
        <f t="shared" ref="J329:J353" si="38">K329+M329</f>
        <v>4123032.28</v>
      </c>
      <c r="K329" s="90">
        <v>3002378.53</v>
      </c>
      <c r="L329" s="113"/>
      <c r="M329" s="94">
        <v>1120653.75</v>
      </c>
      <c r="N329" s="113"/>
      <c r="O329" s="113"/>
      <c r="P329" s="91">
        <v>308937.09999999998</v>
      </c>
      <c r="Q329" s="113"/>
      <c r="R329" s="91">
        <v>724382.57</v>
      </c>
      <c r="S329" s="113"/>
      <c r="T329" s="91">
        <v>32950.67</v>
      </c>
      <c r="U329" s="113"/>
      <c r="V329" s="91">
        <v>33144.03</v>
      </c>
      <c r="W329" s="113"/>
      <c r="X329" s="94"/>
      <c r="Y329" s="94"/>
      <c r="Z329" s="91">
        <f t="shared" ref="Z329:Z344" si="39">G329-H329-J329-P329-R329-T329+V329</f>
        <v>10098772.369999999</v>
      </c>
      <c r="AA329" s="92">
        <v>10098772.369999999</v>
      </c>
      <c r="AB329" s="92">
        <f t="shared" si="36"/>
        <v>0</v>
      </c>
    </row>
    <row r="330" spans="1:28" hidden="1" x14ac:dyDescent="0.2">
      <c r="A330" s="93">
        <v>37529</v>
      </c>
      <c r="B330" s="91">
        <v>19177221.440000001</v>
      </c>
      <c r="C330" s="91">
        <v>0</v>
      </c>
      <c r="D330" s="89"/>
      <c r="E330" s="89"/>
      <c r="F330" s="89"/>
      <c r="G330" s="90">
        <f t="shared" si="37"/>
        <v>19177221.440000001</v>
      </c>
      <c r="H330" s="91">
        <v>779342.08</v>
      </c>
      <c r="I330" s="91"/>
      <c r="J330" s="91">
        <f t="shared" si="38"/>
        <v>4393687.13</v>
      </c>
      <c r="K330" s="90">
        <v>3659220.92</v>
      </c>
      <c r="L330" s="113"/>
      <c r="M330" s="94">
        <v>734466.21</v>
      </c>
      <c r="N330" s="113"/>
      <c r="O330" s="113"/>
      <c r="P330" s="91">
        <v>343608.5</v>
      </c>
      <c r="Q330" s="113"/>
      <c r="R330" s="91">
        <v>846857.86</v>
      </c>
      <c r="S330" s="113"/>
      <c r="T330" s="91">
        <v>85137.48</v>
      </c>
      <c r="U330" s="113"/>
      <c r="V330" s="91">
        <v>24716.29</v>
      </c>
      <c r="W330" s="113"/>
      <c r="X330" s="94"/>
      <c r="Y330" s="94"/>
      <c r="Z330" s="91">
        <f t="shared" si="39"/>
        <v>12753304.680000003</v>
      </c>
      <c r="AA330" s="92">
        <v>12298874.550000001</v>
      </c>
      <c r="AB330" s="92">
        <f t="shared" si="36"/>
        <v>454430.13000000268</v>
      </c>
    </row>
    <row r="331" spans="1:28" hidden="1" x14ac:dyDescent="0.2">
      <c r="A331" s="93">
        <v>37621</v>
      </c>
      <c r="B331" s="91">
        <v>18372367.640000001</v>
      </c>
      <c r="C331" s="91">
        <v>275720.37</v>
      </c>
      <c r="D331" s="89"/>
      <c r="E331" s="89"/>
      <c r="F331" s="89"/>
      <c r="G331" s="90">
        <f t="shared" si="37"/>
        <v>18096647.27</v>
      </c>
      <c r="H331" s="91">
        <v>1659197.13</v>
      </c>
      <c r="I331" s="91"/>
      <c r="J331" s="91">
        <f t="shared" si="38"/>
        <v>4784388.93</v>
      </c>
      <c r="K331" s="90">
        <v>3549737.73</v>
      </c>
      <c r="L331" s="113"/>
      <c r="M331" s="94">
        <v>1234651.2</v>
      </c>
      <c r="N331" s="113"/>
      <c r="O331" s="113"/>
      <c r="P331" s="91">
        <v>314928.5</v>
      </c>
      <c r="Q331" s="113"/>
      <c r="R331" s="91">
        <v>856045.96</v>
      </c>
      <c r="S331" s="113"/>
      <c r="T331" s="91">
        <v>183480.36</v>
      </c>
      <c r="U331" s="113"/>
      <c r="V331" s="91">
        <v>30984.18</v>
      </c>
      <c r="W331" s="113"/>
      <c r="X331" s="94"/>
      <c r="Y331" s="94"/>
      <c r="Z331" s="91">
        <f t="shared" si="39"/>
        <v>10329590.57</v>
      </c>
      <c r="AA331" s="92">
        <v>10329590.57</v>
      </c>
      <c r="AB331" s="92">
        <f t="shared" si="36"/>
        <v>0</v>
      </c>
    </row>
    <row r="332" spans="1:28" hidden="1" x14ac:dyDescent="0.2">
      <c r="A332" s="95">
        <v>37711</v>
      </c>
      <c r="B332" s="91">
        <v>6542157.3899999997</v>
      </c>
      <c r="C332" s="91">
        <v>285097.21999999997</v>
      </c>
      <c r="D332" s="90"/>
      <c r="E332" s="90"/>
      <c r="F332" s="90"/>
      <c r="G332" s="90">
        <f t="shared" si="37"/>
        <v>6257060.1699999999</v>
      </c>
      <c r="H332" s="91">
        <v>2886270.6</v>
      </c>
      <c r="I332" s="91"/>
      <c r="J332" s="91">
        <f t="shared" si="38"/>
        <v>1486106.3199999998</v>
      </c>
      <c r="K332" s="90">
        <v>1316016.92</v>
      </c>
      <c r="L332" s="113"/>
      <c r="M332" s="94">
        <v>170089.4</v>
      </c>
      <c r="N332" s="113"/>
      <c r="O332" s="113"/>
      <c r="P332" s="91">
        <v>224183.21</v>
      </c>
      <c r="Q332" s="113"/>
      <c r="R332" s="91">
        <v>230067.94</v>
      </c>
      <c r="S332" s="113"/>
      <c r="T332" s="91">
        <v>308541.17</v>
      </c>
      <c r="U332" s="113"/>
      <c r="V332" s="91">
        <v>0</v>
      </c>
      <c r="W332" s="113"/>
      <c r="X332" s="91"/>
      <c r="Y332" s="91"/>
      <c r="Z332" s="91">
        <f t="shared" si="39"/>
        <v>1121890.9300000002</v>
      </c>
      <c r="AA332" s="92">
        <v>1124527.93</v>
      </c>
      <c r="AB332" s="92">
        <f t="shared" si="36"/>
        <v>-2636.9999999997672</v>
      </c>
    </row>
    <row r="333" spans="1:28" hidden="1" x14ac:dyDescent="0.2">
      <c r="A333" s="95">
        <v>37802</v>
      </c>
      <c r="B333" s="91">
        <v>5010506.6100000003</v>
      </c>
      <c r="C333" s="91">
        <v>468300.15</v>
      </c>
      <c r="D333" s="90"/>
      <c r="E333" s="90"/>
      <c r="F333" s="90"/>
      <c r="G333" s="90">
        <f t="shared" si="37"/>
        <v>4542206.46</v>
      </c>
      <c r="H333" s="91">
        <v>3561489.63</v>
      </c>
      <c r="I333" s="91"/>
      <c r="J333" s="91">
        <f t="shared" si="38"/>
        <v>993180.83000000007</v>
      </c>
      <c r="K333" s="90">
        <v>1031783.89</v>
      </c>
      <c r="L333" s="113"/>
      <c r="M333" s="94">
        <v>-38603.06</v>
      </c>
      <c r="N333" s="113"/>
      <c r="O333" s="113"/>
      <c r="P333" s="91">
        <v>-192843.66</v>
      </c>
      <c r="Q333" s="113"/>
      <c r="R333" s="91">
        <v>155880.23000000001</v>
      </c>
      <c r="S333" s="113"/>
      <c r="T333" s="91">
        <v>461368.54</v>
      </c>
      <c r="U333" s="113"/>
      <c r="V333" s="91">
        <v>0</v>
      </c>
      <c r="W333" s="113"/>
      <c r="X333" s="91"/>
      <c r="Y333" s="91"/>
      <c r="Z333" s="91">
        <f t="shared" si="39"/>
        <v>-436869.11</v>
      </c>
      <c r="AA333" s="92">
        <v>-436869.11</v>
      </c>
      <c r="AB333" s="92">
        <f t="shared" si="36"/>
        <v>0</v>
      </c>
    </row>
    <row r="334" spans="1:28" hidden="1" x14ac:dyDescent="0.2">
      <c r="A334" s="95">
        <v>37894</v>
      </c>
      <c r="B334" s="91">
        <v>-555206.84</v>
      </c>
      <c r="C334" s="91">
        <v>1270198.8600000001</v>
      </c>
      <c r="D334" s="90"/>
      <c r="E334" s="90"/>
      <c r="F334" s="90"/>
      <c r="G334" s="90">
        <f t="shared" si="37"/>
        <v>-1825405.7000000002</v>
      </c>
      <c r="H334" s="91">
        <v>3074624.07</v>
      </c>
      <c r="I334" s="91"/>
      <c r="J334" s="91">
        <f t="shared" si="38"/>
        <v>-61538.069999999992</v>
      </c>
      <c r="K334" s="90">
        <v>-40913.019999999997</v>
      </c>
      <c r="L334" s="113"/>
      <c r="M334" s="94">
        <v>-20625.05</v>
      </c>
      <c r="N334" s="113"/>
      <c r="O334" s="113"/>
      <c r="P334" s="91">
        <v>-2993.32</v>
      </c>
      <c r="Q334" s="113"/>
      <c r="R334" s="91">
        <v>-35676.26</v>
      </c>
      <c r="S334" s="113"/>
      <c r="T334" s="91">
        <v>436989.87</v>
      </c>
      <c r="U334" s="113"/>
      <c r="V334" s="91">
        <v>0</v>
      </c>
      <c r="W334" s="113"/>
      <c r="X334" s="91"/>
      <c r="Y334" s="91"/>
      <c r="Z334" s="91">
        <f t="shared" si="39"/>
        <v>-5236811.9899999993</v>
      </c>
      <c r="AA334" s="92">
        <v>-5236811.99</v>
      </c>
      <c r="AB334" s="92">
        <f t="shared" si="36"/>
        <v>0</v>
      </c>
    </row>
    <row r="335" spans="1:28" hidden="1" x14ac:dyDescent="0.2">
      <c r="A335" s="95">
        <v>37986</v>
      </c>
      <c r="B335" s="91">
        <v>1078269.06</v>
      </c>
      <c r="C335" s="91">
        <v>798004.55</v>
      </c>
      <c r="D335" s="90"/>
      <c r="E335" s="90"/>
      <c r="F335" s="90"/>
      <c r="G335" s="90">
        <f t="shared" si="37"/>
        <v>280264.51</v>
      </c>
      <c r="H335" s="91">
        <v>3068151.9</v>
      </c>
      <c r="I335" s="91"/>
      <c r="J335" s="91">
        <f t="shared" si="38"/>
        <v>217223.18000000002</v>
      </c>
      <c r="K335" s="90">
        <v>224917.51</v>
      </c>
      <c r="L335" s="113"/>
      <c r="M335" s="94">
        <v>-7694.33</v>
      </c>
      <c r="N335" s="113"/>
      <c r="O335" s="113"/>
      <c r="P335" s="91">
        <v>13959.67</v>
      </c>
      <c r="Q335" s="113"/>
      <c r="R335" s="91">
        <v>40345.050000000003</v>
      </c>
      <c r="S335" s="113"/>
      <c r="T335" s="91">
        <v>428935.45</v>
      </c>
      <c r="U335" s="113"/>
      <c r="V335" s="91">
        <v>0</v>
      </c>
      <c r="W335" s="113"/>
      <c r="X335" s="91"/>
      <c r="Y335" s="91"/>
      <c r="Z335" s="91">
        <f t="shared" si="39"/>
        <v>-3488350.7399999998</v>
      </c>
      <c r="AA335" s="92">
        <v>-3508132.1</v>
      </c>
      <c r="AB335" s="92">
        <f t="shared" si="36"/>
        <v>19781.360000000335</v>
      </c>
    </row>
    <row r="336" spans="1:28" hidden="1" x14ac:dyDescent="0.2">
      <c r="A336" s="95">
        <v>38077</v>
      </c>
      <c r="B336" s="91">
        <v>1240378</v>
      </c>
      <c r="C336" s="91">
        <v>297881.78000000003</v>
      </c>
      <c r="D336" s="90"/>
      <c r="E336" s="90"/>
      <c r="F336" s="90"/>
      <c r="G336" s="90">
        <f t="shared" si="37"/>
        <v>942496.22</v>
      </c>
      <c r="H336" s="91">
        <v>2625009.7999999998</v>
      </c>
      <c r="I336" s="91"/>
      <c r="J336" s="91">
        <f t="shared" si="38"/>
        <v>286154.21999999997</v>
      </c>
      <c r="K336" s="90">
        <v>287733.21999999997</v>
      </c>
      <c r="L336" s="113"/>
      <c r="M336" s="94">
        <v>-1579</v>
      </c>
      <c r="N336" s="113"/>
      <c r="O336" s="113"/>
      <c r="P336" s="91">
        <v>0</v>
      </c>
      <c r="Q336" s="113"/>
      <c r="R336" s="91">
        <v>25373.38</v>
      </c>
      <c r="S336" s="113"/>
      <c r="T336" s="91">
        <v>353547.32</v>
      </c>
      <c r="U336" s="113"/>
      <c r="V336" s="91">
        <v>0</v>
      </c>
      <c r="W336" s="113"/>
      <c r="X336" s="91"/>
      <c r="Y336" s="91"/>
      <c r="Z336" s="91">
        <f t="shared" si="39"/>
        <v>-2347588.4999999995</v>
      </c>
      <c r="AA336" s="92">
        <v>-2340028.58</v>
      </c>
      <c r="AB336" s="92">
        <f t="shared" si="36"/>
        <v>-7559.9199999994598</v>
      </c>
    </row>
    <row r="337" spans="1:28" hidden="1" x14ac:dyDescent="0.2">
      <c r="A337" s="95">
        <v>38168</v>
      </c>
      <c r="B337" s="91">
        <v>-493500</v>
      </c>
      <c r="C337" s="91">
        <v>625314.5</v>
      </c>
      <c r="D337" s="90"/>
      <c r="E337" s="90"/>
      <c r="F337" s="90"/>
      <c r="G337" s="90">
        <f t="shared" si="37"/>
        <v>-1118814.5</v>
      </c>
      <c r="H337" s="91">
        <v>2660836.37</v>
      </c>
      <c r="I337" s="91"/>
      <c r="J337" s="91">
        <f t="shared" si="38"/>
        <v>-99724.27</v>
      </c>
      <c r="K337" s="90">
        <v>-94858.27</v>
      </c>
      <c r="L337" s="113"/>
      <c r="M337" s="94">
        <v>-4866</v>
      </c>
      <c r="N337" s="113"/>
      <c r="O337" s="113"/>
      <c r="P337" s="91">
        <v>0</v>
      </c>
      <c r="Q337" s="113"/>
      <c r="R337" s="91">
        <v>-37616.589999999997</v>
      </c>
      <c r="S337" s="113"/>
      <c r="T337" s="91">
        <v>308332.55</v>
      </c>
      <c r="U337" s="113"/>
      <c r="V337" s="91">
        <v>0</v>
      </c>
      <c r="W337" s="113"/>
      <c r="X337" s="91"/>
      <c r="Y337" s="91"/>
      <c r="Z337" s="91">
        <f t="shared" si="39"/>
        <v>-3950642.56</v>
      </c>
      <c r="AA337" s="92">
        <v>-3975431.86</v>
      </c>
      <c r="AB337" s="92">
        <f t="shared" si="36"/>
        <v>24789.299999999814</v>
      </c>
    </row>
    <row r="338" spans="1:28" hidden="1" x14ac:dyDescent="0.2">
      <c r="A338" s="95">
        <v>38260</v>
      </c>
      <c r="B338" s="91">
        <v>-149929</v>
      </c>
      <c r="C338" s="91">
        <v>489440.87</v>
      </c>
      <c r="D338" s="90"/>
      <c r="E338" s="90"/>
      <c r="F338" s="90"/>
      <c r="G338" s="90">
        <f t="shared" si="37"/>
        <v>-639369.87</v>
      </c>
      <c r="H338" s="91">
        <v>1843438.98</v>
      </c>
      <c r="I338" s="91"/>
      <c r="J338" s="91">
        <f t="shared" si="38"/>
        <v>-22759.01</v>
      </c>
      <c r="K338" s="90">
        <v>-22589.01</v>
      </c>
      <c r="L338" s="113"/>
      <c r="M338" s="94">
        <v>-170</v>
      </c>
      <c r="N338" s="113"/>
      <c r="O338" s="113"/>
      <c r="P338" s="91">
        <v>0</v>
      </c>
      <c r="Q338" s="113"/>
      <c r="R338" s="91">
        <v>-22121.55</v>
      </c>
      <c r="S338" s="113"/>
      <c r="T338" s="91">
        <v>277090.19</v>
      </c>
      <c r="U338" s="113"/>
      <c r="V338" s="91">
        <v>0</v>
      </c>
      <c r="W338" s="113"/>
      <c r="X338" s="91"/>
      <c r="Y338" s="91"/>
      <c r="Z338" s="91">
        <f t="shared" si="39"/>
        <v>-2715018.4800000004</v>
      </c>
      <c r="AA338" s="92">
        <v>-2715018.48</v>
      </c>
      <c r="AB338" s="92">
        <f t="shared" si="36"/>
        <v>0</v>
      </c>
    </row>
    <row r="339" spans="1:28" hidden="1" x14ac:dyDescent="0.2">
      <c r="A339" s="95">
        <v>38352</v>
      </c>
      <c r="B339" s="91">
        <v>-148055</v>
      </c>
      <c r="C339" s="91">
        <v>-142321.57</v>
      </c>
      <c r="D339" s="90"/>
      <c r="E339" s="90"/>
      <c r="F339" s="90"/>
      <c r="G339" s="90">
        <f t="shared" si="37"/>
        <v>-5733.429999999993</v>
      </c>
      <c r="H339" s="91">
        <v>1972154.79</v>
      </c>
      <c r="I339" s="91"/>
      <c r="J339" s="91">
        <f t="shared" si="38"/>
        <v>-32680.98</v>
      </c>
      <c r="K339" s="90">
        <v>-32262.98</v>
      </c>
      <c r="L339" s="113"/>
      <c r="M339" s="94">
        <v>-418</v>
      </c>
      <c r="N339" s="113"/>
      <c r="O339" s="113"/>
      <c r="P339" s="91">
        <v>0</v>
      </c>
      <c r="Q339" s="113"/>
      <c r="R339" s="91">
        <v>-6726.41</v>
      </c>
      <c r="S339" s="113"/>
      <c r="T339" s="91">
        <v>243956.16</v>
      </c>
      <c r="U339" s="113"/>
      <c r="V339" s="91">
        <v>0</v>
      </c>
      <c r="W339" s="113"/>
      <c r="X339" s="91"/>
      <c r="Y339" s="91"/>
      <c r="Z339" s="91">
        <f t="shared" si="39"/>
        <v>-2182436.9900000002</v>
      </c>
      <c r="AA339" s="92">
        <v>-2182437</v>
      </c>
      <c r="AB339" s="92">
        <f t="shared" si="36"/>
        <v>9.9999997764825821E-3</v>
      </c>
    </row>
    <row r="340" spans="1:28" hidden="1" x14ac:dyDescent="0.2">
      <c r="A340" s="95">
        <v>38442</v>
      </c>
      <c r="B340" s="91">
        <v>-216828</v>
      </c>
      <c r="C340" s="91">
        <v>-274741.40000000002</v>
      </c>
      <c r="D340" s="91"/>
      <c r="E340" s="91"/>
      <c r="F340" s="91"/>
      <c r="G340" s="90">
        <f t="shared" si="37"/>
        <v>57913.400000000023</v>
      </c>
      <c r="H340" s="91">
        <v>1809524.11</v>
      </c>
      <c r="I340" s="91"/>
      <c r="J340" s="91">
        <f t="shared" si="38"/>
        <v>-43455.24</v>
      </c>
      <c r="K340" s="90">
        <v>-42853.24</v>
      </c>
      <c r="L340" s="113"/>
      <c r="M340" s="94">
        <v>-602</v>
      </c>
      <c r="N340" s="113"/>
      <c r="O340" s="113"/>
      <c r="P340" s="91">
        <v>0</v>
      </c>
      <c r="Q340" s="113"/>
      <c r="R340" s="91">
        <v>-3707.15</v>
      </c>
      <c r="S340" s="113"/>
      <c r="T340" s="91">
        <v>177626.64</v>
      </c>
      <c r="U340" s="113"/>
      <c r="V340" s="91">
        <v>0</v>
      </c>
      <c r="W340" s="113"/>
      <c r="X340" s="91"/>
      <c r="Y340" s="91"/>
      <c r="Z340" s="91">
        <f t="shared" si="39"/>
        <v>-1882074.96</v>
      </c>
      <c r="AA340" s="92">
        <v>-1882074.96</v>
      </c>
      <c r="AB340" s="92">
        <f t="shared" si="36"/>
        <v>0</v>
      </c>
    </row>
    <row r="341" spans="1:28" hidden="1" x14ac:dyDescent="0.2">
      <c r="A341" s="95">
        <v>38533</v>
      </c>
      <c r="B341" s="91">
        <v>-150999</v>
      </c>
      <c r="C341" s="91">
        <v>-106862.01</v>
      </c>
      <c r="D341" s="91"/>
      <c r="E341" s="91"/>
      <c r="F341" s="91"/>
      <c r="G341" s="90">
        <f t="shared" si="37"/>
        <v>-44136.990000000005</v>
      </c>
      <c r="H341" s="91">
        <v>1126548.19</v>
      </c>
      <c r="I341" s="91"/>
      <c r="J341" s="91">
        <f t="shared" si="38"/>
        <v>-33261.19</v>
      </c>
      <c r="K341" s="90">
        <v>-33132.19</v>
      </c>
      <c r="L341" s="113"/>
      <c r="M341" s="94">
        <v>-129</v>
      </c>
      <c r="N341" s="113"/>
      <c r="O341" s="113"/>
      <c r="P341" s="91">
        <v>0</v>
      </c>
      <c r="Q341" s="113"/>
      <c r="R341" s="91">
        <v>-3726.77</v>
      </c>
      <c r="S341" s="113"/>
      <c r="T341" s="91">
        <v>138703.85</v>
      </c>
      <c r="U341" s="113"/>
      <c r="V341" s="91">
        <v>0</v>
      </c>
      <c r="W341" s="113"/>
      <c r="X341" s="91"/>
      <c r="Y341" s="91"/>
      <c r="Z341" s="91">
        <f t="shared" si="39"/>
        <v>-1272401.07</v>
      </c>
      <c r="AA341" s="92">
        <v>-1272401.07</v>
      </c>
      <c r="AB341" s="92">
        <f t="shared" si="36"/>
        <v>0</v>
      </c>
    </row>
    <row r="342" spans="1:28" hidden="1" x14ac:dyDescent="0.2">
      <c r="A342" s="95">
        <v>38625</v>
      </c>
      <c r="B342" s="91">
        <v>4104</v>
      </c>
      <c r="C342" s="91">
        <v>-70596.11</v>
      </c>
      <c r="D342" s="91"/>
      <c r="E342" s="91"/>
      <c r="F342" s="91"/>
      <c r="G342" s="90">
        <f t="shared" si="37"/>
        <v>74700.11</v>
      </c>
      <c r="H342" s="91">
        <v>1699320.1</v>
      </c>
      <c r="I342" s="91"/>
      <c r="J342" s="91">
        <f t="shared" si="38"/>
        <v>533.08000000000004</v>
      </c>
      <c r="K342" s="90">
        <v>1000.08</v>
      </c>
      <c r="L342" s="113"/>
      <c r="M342" s="94">
        <v>-467</v>
      </c>
      <c r="N342" s="113"/>
      <c r="O342" s="113"/>
      <c r="P342" s="91">
        <v>0</v>
      </c>
      <c r="Q342" s="113"/>
      <c r="R342" s="91">
        <v>635.91999999999996</v>
      </c>
      <c r="S342" s="113"/>
      <c r="T342" s="91">
        <v>222891.58</v>
      </c>
      <c r="U342" s="113"/>
      <c r="V342" s="91">
        <v>0</v>
      </c>
      <c r="W342" s="113"/>
      <c r="X342" s="91"/>
      <c r="Y342" s="91"/>
      <c r="Z342" s="91">
        <f t="shared" si="39"/>
        <v>-1848680.57</v>
      </c>
      <c r="AA342" s="92">
        <v>-1848680.57</v>
      </c>
      <c r="AB342" s="92">
        <f t="shared" si="36"/>
        <v>0</v>
      </c>
    </row>
    <row r="343" spans="1:28" hidden="1" x14ac:dyDescent="0.2">
      <c r="A343" s="95">
        <v>38717</v>
      </c>
      <c r="B343" s="91">
        <v>-89985</v>
      </c>
      <c r="C343" s="91">
        <v>-87634.32</v>
      </c>
      <c r="D343" s="91"/>
      <c r="E343" s="91"/>
      <c r="F343" s="91"/>
      <c r="G343" s="90">
        <f t="shared" si="37"/>
        <v>-2350.679999999993</v>
      </c>
      <c r="H343" s="91">
        <v>1338329.8799999999</v>
      </c>
      <c r="I343" s="91"/>
      <c r="J343" s="91">
        <f t="shared" si="38"/>
        <v>-20090.11</v>
      </c>
      <c r="K343" s="90">
        <v>-19747.11</v>
      </c>
      <c r="L343" s="113"/>
      <c r="M343" s="94">
        <v>-343</v>
      </c>
      <c r="N343" s="113"/>
      <c r="O343" s="113"/>
      <c r="P343" s="91">
        <v>0</v>
      </c>
      <c r="Q343" s="113"/>
      <c r="R343" s="91">
        <v>-3013.98</v>
      </c>
      <c r="S343" s="113"/>
      <c r="T343" s="91">
        <v>142267.01</v>
      </c>
      <c r="U343" s="113"/>
      <c r="V343" s="91">
        <v>0</v>
      </c>
      <c r="W343" s="113"/>
      <c r="X343" s="91"/>
      <c r="Y343" s="91"/>
      <c r="Z343" s="91">
        <f t="shared" si="39"/>
        <v>-1459843.4799999997</v>
      </c>
      <c r="AA343" s="92">
        <v>-1459843.48</v>
      </c>
      <c r="AB343" s="92">
        <f t="shared" si="36"/>
        <v>0</v>
      </c>
    </row>
    <row r="344" spans="1:28" hidden="1" x14ac:dyDescent="0.2">
      <c r="A344" s="95">
        <v>38807</v>
      </c>
      <c r="B344" s="91">
        <v>-20732</v>
      </c>
      <c r="C344" s="91">
        <v>-71348.05</v>
      </c>
      <c r="D344" s="91"/>
      <c r="E344" s="91"/>
      <c r="F344" s="91"/>
      <c r="G344" s="90">
        <f t="shared" si="37"/>
        <v>50616.05</v>
      </c>
      <c r="H344" s="91">
        <v>764411.44</v>
      </c>
      <c r="I344" s="91"/>
      <c r="J344" s="91">
        <f t="shared" si="38"/>
        <v>-4058.8199999999997</v>
      </c>
      <c r="K344" s="90">
        <v>-4380.82</v>
      </c>
      <c r="L344" s="113"/>
      <c r="M344" s="94">
        <v>322</v>
      </c>
      <c r="N344" s="113"/>
      <c r="O344" s="113"/>
      <c r="P344" s="91">
        <v>0</v>
      </c>
      <c r="Q344" s="113"/>
      <c r="R344" s="91">
        <v>2.02</v>
      </c>
      <c r="S344" s="113"/>
      <c r="T344" s="91">
        <v>121637.61</v>
      </c>
      <c r="U344" s="113"/>
      <c r="V344" s="91">
        <v>0</v>
      </c>
      <c r="W344" s="113"/>
      <c r="X344" s="91">
        <v>2770000</v>
      </c>
      <c r="Y344" s="91"/>
      <c r="Z344" s="91">
        <f t="shared" si="39"/>
        <v>-831376.2</v>
      </c>
      <c r="AA344" s="92">
        <v>-831132.2</v>
      </c>
      <c r="AB344" s="92">
        <f t="shared" si="36"/>
        <v>-244</v>
      </c>
    </row>
    <row r="345" spans="1:28" hidden="1" x14ac:dyDescent="0.2">
      <c r="A345" s="95">
        <v>38898</v>
      </c>
      <c r="B345" s="91">
        <v>-77099</v>
      </c>
      <c r="C345" s="91">
        <v>-91283.61</v>
      </c>
      <c r="D345" s="91"/>
      <c r="E345" s="91"/>
      <c r="F345" s="91"/>
      <c r="G345" s="90">
        <f t="shared" si="37"/>
        <v>14184.61</v>
      </c>
      <c r="H345" s="91">
        <v>257243.23</v>
      </c>
      <c r="I345" s="91"/>
      <c r="J345" s="91">
        <f t="shared" si="38"/>
        <v>-13691.97</v>
      </c>
      <c r="K345" s="90">
        <v>-13651.97</v>
      </c>
      <c r="L345" s="103"/>
      <c r="M345" s="94">
        <v>-40</v>
      </c>
      <c r="N345" s="103"/>
      <c r="O345" s="103"/>
      <c r="P345" s="91">
        <v>0</v>
      </c>
      <c r="Q345" s="103"/>
      <c r="R345" s="91">
        <v>-2232.44</v>
      </c>
      <c r="S345" s="103"/>
      <c r="T345" s="91">
        <v>24412.720000000001</v>
      </c>
      <c r="U345" s="103"/>
      <c r="V345" s="91">
        <v>0</v>
      </c>
      <c r="W345" s="103"/>
      <c r="X345" s="91"/>
      <c r="Y345" s="91"/>
      <c r="Z345" s="91">
        <f t="shared" ref="Z345:Z350" si="40">G345-H345-J345-P345-R345-T345+V345</f>
        <v>-251546.93</v>
      </c>
      <c r="AA345" s="92">
        <v>-251546.93</v>
      </c>
      <c r="AB345" s="92">
        <f t="shared" si="36"/>
        <v>0</v>
      </c>
    </row>
    <row r="346" spans="1:28" hidden="1" x14ac:dyDescent="0.2">
      <c r="A346" s="95">
        <v>38990</v>
      </c>
      <c r="B346" s="91">
        <v>-27145</v>
      </c>
      <c r="C346" s="91">
        <v>-50044.11</v>
      </c>
      <c r="D346" s="91">
        <v>0</v>
      </c>
      <c r="E346" s="91"/>
      <c r="F346" s="91"/>
      <c r="G346" s="90">
        <f t="shared" si="37"/>
        <v>22899.11</v>
      </c>
      <c r="H346" s="91">
        <v>698933.32</v>
      </c>
      <c r="I346" s="91"/>
      <c r="J346" s="91">
        <f t="shared" si="38"/>
        <v>-6109.23</v>
      </c>
      <c r="K346" s="90">
        <v>-5939.23</v>
      </c>
      <c r="L346" s="103"/>
      <c r="M346" s="94">
        <v>-170</v>
      </c>
      <c r="N346" s="103"/>
      <c r="O346" s="103"/>
      <c r="P346" s="91">
        <v>0</v>
      </c>
      <c r="Q346" s="103"/>
      <c r="R346" s="91">
        <v>-1334.15</v>
      </c>
      <c r="S346" s="103"/>
      <c r="T346" s="91">
        <v>60856.25</v>
      </c>
      <c r="U346" s="103"/>
      <c r="V346" s="91">
        <v>0</v>
      </c>
      <c r="W346" s="103"/>
      <c r="X346" s="91"/>
      <c r="Y346" s="91"/>
      <c r="Z346" s="91">
        <f t="shared" si="40"/>
        <v>-729447.08</v>
      </c>
      <c r="AA346" s="92">
        <v>-729447.08</v>
      </c>
      <c r="AB346" s="92">
        <f t="shared" si="36"/>
        <v>0</v>
      </c>
    </row>
    <row r="347" spans="1:28" hidden="1" x14ac:dyDescent="0.2">
      <c r="A347" s="95">
        <v>39082</v>
      </c>
      <c r="B347" s="91">
        <v>-11284</v>
      </c>
      <c r="C347" s="91">
        <v>-34739.21</v>
      </c>
      <c r="D347" s="91"/>
      <c r="E347" s="91"/>
      <c r="F347" s="91"/>
      <c r="G347" s="90">
        <f t="shared" si="37"/>
        <v>23455.21</v>
      </c>
      <c r="H347" s="91">
        <v>848938.53</v>
      </c>
      <c r="I347" s="91"/>
      <c r="J347" s="91">
        <f t="shared" si="38"/>
        <v>-2612.7399999999998</v>
      </c>
      <c r="K347" s="90">
        <v>-2445.7399999999998</v>
      </c>
      <c r="L347" s="103"/>
      <c r="M347" s="94">
        <v>-167</v>
      </c>
      <c r="N347" s="103"/>
      <c r="O347" s="103"/>
      <c r="P347" s="91">
        <v>1473.64</v>
      </c>
      <c r="Q347" s="103"/>
      <c r="R347" s="91">
        <v>-139.29</v>
      </c>
      <c r="S347" s="103"/>
      <c r="T347" s="91">
        <v>79962.25</v>
      </c>
      <c r="U347" s="103"/>
      <c r="V347" s="91">
        <v>0</v>
      </c>
      <c r="W347" s="103"/>
      <c r="X347" s="91"/>
      <c r="Y347" s="91"/>
      <c r="Z347" s="91">
        <f t="shared" si="40"/>
        <v>-904167.18</v>
      </c>
      <c r="AA347" s="92">
        <v>-904167.18</v>
      </c>
      <c r="AB347" s="92">
        <f t="shared" si="36"/>
        <v>0</v>
      </c>
    </row>
    <row r="348" spans="1:28" hidden="1" x14ac:dyDescent="0.2">
      <c r="A348" s="95">
        <v>39172</v>
      </c>
      <c r="B348" s="91">
        <v>9476</v>
      </c>
      <c r="C348" s="91">
        <v>-14584.02</v>
      </c>
      <c r="D348" s="91"/>
      <c r="E348" s="91"/>
      <c r="F348" s="91"/>
      <c r="G348" s="90">
        <f t="shared" si="37"/>
        <v>24060.02</v>
      </c>
      <c r="H348" s="91">
        <v>255387.47</v>
      </c>
      <c r="I348" s="91"/>
      <c r="J348" s="91">
        <v>2084.58</v>
      </c>
      <c r="K348" s="90">
        <v>2084.58</v>
      </c>
      <c r="L348" s="103"/>
      <c r="M348" s="94">
        <v>0</v>
      </c>
      <c r="N348" s="103"/>
      <c r="O348" s="103"/>
      <c r="P348" s="91">
        <v>0</v>
      </c>
      <c r="Q348" s="103"/>
      <c r="R348" s="91">
        <v>828.87</v>
      </c>
      <c r="S348" s="103"/>
      <c r="T348" s="91">
        <v>47159.45</v>
      </c>
      <c r="U348" s="103"/>
      <c r="V348" s="91">
        <v>0</v>
      </c>
      <c r="W348" s="103"/>
      <c r="X348" s="91"/>
      <c r="Y348" s="91"/>
      <c r="Z348" s="91">
        <f t="shared" si="40"/>
        <v>-281400.34999999998</v>
      </c>
      <c r="AA348" s="92">
        <v>-281400.34999999998</v>
      </c>
      <c r="AB348" s="92">
        <f t="shared" si="36"/>
        <v>0</v>
      </c>
    </row>
    <row r="349" spans="1:28" hidden="1" x14ac:dyDescent="0.2">
      <c r="A349" s="95">
        <v>39263</v>
      </c>
      <c r="B349" s="91">
        <v>-26055</v>
      </c>
      <c r="C349" s="91">
        <v>-13584.5</v>
      </c>
      <c r="D349" s="91">
        <v>0</v>
      </c>
      <c r="E349" s="91"/>
      <c r="F349" s="91">
        <v>0</v>
      </c>
      <c r="G349" s="90">
        <f t="shared" si="37"/>
        <v>-12470.5</v>
      </c>
      <c r="H349" s="91">
        <v>579805.73</v>
      </c>
      <c r="I349" s="91"/>
      <c r="J349" s="91">
        <f t="shared" si="38"/>
        <v>-6066.54</v>
      </c>
      <c r="K349" s="90">
        <v>-5700.54</v>
      </c>
      <c r="L349" s="103"/>
      <c r="M349" s="94">
        <f>-122+-122+-122</f>
        <v>-366</v>
      </c>
      <c r="N349" s="103"/>
      <c r="O349" s="103"/>
      <c r="P349" s="91">
        <v>999.8</v>
      </c>
      <c r="Q349" s="103"/>
      <c r="R349" s="91">
        <v>-1032.76</v>
      </c>
      <c r="S349" s="103"/>
      <c r="T349" s="91">
        <v>37626.07</v>
      </c>
      <c r="U349" s="103"/>
      <c r="V349" s="91">
        <v>0</v>
      </c>
      <c r="W349" s="103"/>
      <c r="X349" s="91"/>
      <c r="Y349" s="91"/>
      <c r="Z349" s="91">
        <f t="shared" si="40"/>
        <v>-623802.79999999993</v>
      </c>
      <c r="AA349" s="92">
        <v>-623802.80000000005</v>
      </c>
      <c r="AB349" s="92">
        <f t="shared" si="36"/>
        <v>0</v>
      </c>
    </row>
    <row r="350" spans="1:28" hidden="1" x14ac:dyDescent="0.2">
      <c r="A350" s="95">
        <v>39355</v>
      </c>
      <c r="B350" s="91">
        <v>-822</v>
      </c>
      <c r="C350" s="91">
        <v>-12596.42</v>
      </c>
      <c r="D350" s="91"/>
      <c r="E350" s="91"/>
      <c r="F350" s="91"/>
      <c r="G350" s="90">
        <f t="shared" si="37"/>
        <v>11774.42</v>
      </c>
      <c r="H350" s="91">
        <v>82419.8</v>
      </c>
      <c r="I350" s="91"/>
      <c r="J350" s="91">
        <f t="shared" si="38"/>
        <v>-180.84</v>
      </c>
      <c r="K350" s="90">
        <v>-180.84</v>
      </c>
      <c r="L350" s="103"/>
      <c r="M350" s="94">
        <v>0</v>
      </c>
      <c r="N350" s="103"/>
      <c r="O350" s="103"/>
      <c r="P350" s="91">
        <v>207.3</v>
      </c>
      <c r="Q350" s="103"/>
      <c r="R350" s="91">
        <v>355.98</v>
      </c>
      <c r="S350" s="103"/>
      <c r="T350" s="91">
        <v>50130.9</v>
      </c>
      <c r="U350" s="103"/>
      <c r="V350" s="91">
        <v>0</v>
      </c>
      <c r="W350" s="103"/>
      <c r="X350" s="91"/>
      <c r="Y350" s="91"/>
      <c r="Z350" s="91">
        <f t="shared" si="40"/>
        <v>-121158.72</v>
      </c>
      <c r="AA350" s="92">
        <v>-121158.72</v>
      </c>
      <c r="AB350" s="92">
        <f t="shared" si="36"/>
        <v>0</v>
      </c>
    </row>
    <row r="351" spans="1:28" hidden="1" x14ac:dyDescent="0.2">
      <c r="A351" s="95">
        <v>39447</v>
      </c>
      <c r="B351" s="91">
        <v>-33362</v>
      </c>
      <c r="C351" s="91">
        <v>-37522.33</v>
      </c>
      <c r="D351" s="91">
        <v>0</v>
      </c>
      <c r="E351" s="91">
        <v>4160.33</v>
      </c>
      <c r="F351" s="91">
        <v>0</v>
      </c>
      <c r="G351" s="90">
        <f t="shared" si="37"/>
        <v>4160.3300000000017</v>
      </c>
      <c r="H351" s="91">
        <v>139163.26</v>
      </c>
      <c r="I351" s="91"/>
      <c r="J351" s="91">
        <f t="shared" si="38"/>
        <v>-2895.94</v>
      </c>
      <c r="K351" s="90">
        <v>-2773.94</v>
      </c>
      <c r="L351" s="103"/>
      <c r="M351" s="94">
        <v>-122</v>
      </c>
      <c r="N351" s="103"/>
      <c r="O351" s="103"/>
      <c r="P351" s="91">
        <v>250.21</v>
      </c>
      <c r="Q351" s="103"/>
      <c r="R351" s="91">
        <v>-82.69</v>
      </c>
      <c r="S351" s="103"/>
      <c r="T351" s="91">
        <v>34390.550000000003</v>
      </c>
      <c r="U351" s="103"/>
      <c r="V351" s="91">
        <v>0</v>
      </c>
      <c r="W351" s="103"/>
      <c r="X351" s="91"/>
      <c r="Y351" s="91"/>
      <c r="Z351" s="91">
        <f t="shared" ref="Z351:Z356" si="41">G351-H351-J351-P351-R351-T351+V351</f>
        <v>-166665.06</v>
      </c>
      <c r="AA351" s="92">
        <v>-166665.06</v>
      </c>
      <c r="AB351" s="92">
        <f t="shared" si="36"/>
        <v>0</v>
      </c>
    </row>
    <row r="352" spans="1:28" hidden="1" x14ac:dyDescent="0.2">
      <c r="A352" s="95">
        <v>39538</v>
      </c>
      <c r="B352" s="91">
        <v>-738</v>
      </c>
      <c r="C352" s="91">
        <v>-18515.78</v>
      </c>
      <c r="D352" s="91">
        <v>0</v>
      </c>
      <c r="E352" s="91">
        <v>17777.78</v>
      </c>
      <c r="F352" s="91">
        <v>0</v>
      </c>
      <c r="G352" s="90">
        <f t="shared" si="37"/>
        <v>17777.78</v>
      </c>
      <c r="H352" s="91">
        <v>-103946.5</v>
      </c>
      <c r="I352" s="91"/>
      <c r="J352" s="91">
        <f t="shared" si="38"/>
        <v>-162.36000000000001</v>
      </c>
      <c r="K352" s="90">
        <v>-162.36000000000001</v>
      </c>
      <c r="L352" s="103"/>
      <c r="M352" s="94">
        <v>0</v>
      </c>
      <c r="N352" s="103"/>
      <c r="O352" s="103"/>
      <c r="P352" s="91">
        <v>-162.82</v>
      </c>
      <c r="Q352" s="103"/>
      <c r="R352" s="91">
        <v>593.63</v>
      </c>
      <c r="S352" s="103"/>
      <c r="T352" s="91">
        <v>63556.67</v>
      </c>
      <c r="U352" s="103"/>
      <c r="V352" s="91">
        <v>0</v>
      </c>
      <c r="W352" s="103"/>
      <c r="X352" s="91"/>
      <c r="Y352" s="91"/>
      <c r="Z352" s="91">
        <f t="shared" si="41"/>
        <v>57899.16</v>
      </c>
      <c r="AA352" s="92">
        <v>57899.16</v>
      </c>
      <c r="AB352" s="92">
        <f t="shared" si="36"/>
        <v>0</v>
      </c>
    </row>
    <row r="353" spans="1:28" hidden="1" x14ac:dyDescent="0.2">
      <c r="A353" s="95">
        <v>39629</v>
      </c>
      <c r="B353" s="91">
        <v>-1289</v>
      </c>
      <c r="C353" s="91">
        <v>-13722.29</v>
      </c>
      <c r="D353" s="91">
        <v>0</v>
      </c>
      <c r="E353" s="91">
        <f t="shared" ref="E353:E370" si="42">B353-C353</f>
        <v>12433.29</v>
      </c>
      <c r="F353" s="91">
        <v>0</v>
      </c>
      <c r="G353" s="90">
        <f t="shared" si="37"/>
        <v>12433.29</v>
      </c>
      <c r="H353" s="91">
        <v>353273.3</v>
      </c>
      <c r="I353" s="91"/>
      <c r="J353" s="91">
        <f t="shared" si="38"/>
        <v>-378.74</v>
      </c>
      <c r="K353" s="90">
        <v>-256.74</v>
      </c>
      <c r="L353" s="103"/>
      <c r="M353" s="94">
        <v>-122</v>
      </c>
      <c r="N353" s="103"/>
      <c r="O353" s="103"/>
      <c r="P353" s="91">
        <v>569.34</v>
      </c>
      <c r="Q353" s="103"/>
      <c r="R353" s="91">
        <v>493.77</v>
      </c>
      <c r="S353" s="103"/>
      <c r="T353" s="91">
        <v>57525.62</v>
      </c>
      <c r="U353" s="103"/>
      <c r="V353" s="91">
        <v>0</v>
      </c>
      <c r="W353" s="103"/>
      <c r="X353" s="91"/>
      <c r="Y353" s="91"/>
      <c r="Z353" s="91">
        <f t="shared" si="41"/>
        <v>-399050.00000000006</v>
      </c>
      <c r="AA353" s="92">
        <v>-399050</v>
      </c>
      <c r="AB353" s="92">
        <f t="shared" si="36"/>
        <v>0</v>
      </c>
    </row>
    <row r="354" spans="1:28" hidden="1" x14ac:dyDescent="0.2">
      <c r="A354" s="95">
        <v>39721</v>
      </c>
      <c r="B354" s="91">
        <v>-488</v>
      </c>
      <c r="C354" s="91">
        <v>-3556.14</v>
      </c>
      <c r="D354" s="91">
        <v>0</v>
      </c>
      <c r="E354" s="91">
        <f t="shared" si="42"/>
        <v>3068.14</v>
      </c>
      <c r="F354" s="91">
        <v>0</v>
      </c>
      <c r="G354" s="90">
        <f t="shared" si="37"/>
        <v>3068.14</v>
      </c>
      <c r="H354" s="91">
        <v>195978.83</v>
      </c>
      <c r="I354" s="91"/>
      <c r="J354" s="91">
        <v>-147.91999999999999</v>
      </c>
      <c r="K354" s="90">
        <v>-95.92</v>
      </c>
      <c r="L354" s="103"/>
      <c r="M354" s="94">
        <v>-52</v>
      </c>
      <c r="N354" s="103"/>
      <c r="O354" s="103"/>
      <c r="P354" s="91">
        <v>332.38</v>
      </c>
      <c r="Q354" s="103"/>
      <c r="R354" s="91">
        <v>-31.23</v>
      </c>
      <c r="S354" s="103"/>
      <c r="T354" s="91">
        <v>12148.71</v>
      </c>
      <c r="U354" s="103"/>
      <c r="V354" s="91">
        <v>0</v>
      </c>
      <c r="W354" s="103"/>
      <c r="X354" s="91"/>
      <c r="Y354" s="91"/>
      <c r="Z354" s="91">
        <f t="shared" si="41"/>
        <v>-205212.62999999995</v>
      </c>
      <c r="AA354" s="92">
        <v>-205212.63</v>
      </c>
      <c r="AB354" s="92">
        <f t="shared" si="36"/>
        <v>0</v>
      </c>
    </row>
    <row r="355" spans="1:28" hidden="1" x14ac:dyDescent="0.2">
      <c r="A355" s="95">
        <v>39813</v>
      </c>
      <c r="B355" s="91">
        <v>-20496</v>
      </c>
      <c r="C355" s="91">
        <v>-762.28</v>
      </c>
      <c r="D355" s="91">
        <v>0</v>
      </c>
      <c r="E355" s="91">
        <f t="shared" si="42"/>
        <v>-19733.72</v>
      </c>
      <c r="F355" s="91">
        <v>0</v>
      </c>
      <c r="G355" s="90">
        <f t="shared" si="37"/>
        <v>-19733.72</v>
      </c>
      <c r="H355" s="91">
        <v>108981.51</v>
      </c>
      <c r="I355" s="91"/>
      <c r="J355" s="91">
        <v>-3405</v>
      </c>
      <c r="K355" s="90">
        <v>-3406</v>
      </c>
      <c r="L355" s="103"/>
      <c r="M355" s="94">
        <v>1</v>
      </c>
      <c r="N355" s="103"/>
      <c r="O355" s="103"/>
      <c r="P355" s="91">
        <v>-14.32</v>
      </c>
      <c r="Q355" s="103"/>
      <c r="R355" s="91">
        <v>-6174.83</v>
      </c>
      <c r="S355" s="103"/>
      <c r="T355" s="91">
        <v>28430.71</v>
      </c>
      <c r="U355" s="103"/>
      <c r="V355" s="91">
        <v>0</v>
      </c>
      <c r="W355" s="103"/>
      <c r="X355" s="91"/>
      <c r="Y355" s="91"/>
      <c r="Z355" s="91">
        <f t="shared" si="41"/>
        <v>-147551.78999999998</v>
      </c>
      <c r="AA355" s="92">
        <v>-147551.79</v>
      </c>
      <c r="AB355" s="92">
        <f t="shared" si="36"/>
        <v>0</v>
      </c>
    </row>
    <row r="356" spans="1:28" hidden="1" x14ac:dyDescent="0.2">
      <c r="A356" s="95">
        <v>39903</v>
      </c>
      <c r="B356" s="91">
        <v>345</v>
      </c>
      <c r="C356" s="91">
        <v>8561.98</v>
      </c>
      <c r="D356" s="91">
        <v>0</v>
      </c>
      <c r="E356" s="91">
        <f t="shared" si="42"/>
        <v>-8216.98</v>
      </c>
      <c r="F356" s="91">
        <v>0</v>
      </c>
      <c r="G356" s="90">
        <f t="shared" si="37"/>
        <v>-8216.98</v>
      </c>
      <c r="H356" s="91">
        <v>25198.14</v>
      </c>
      <c r="I356" s="91"/>
      <c r="J356" s="91">
        <v>171.06</v>
      </c>
      <c r="K356" s="90">
        <v>49.06</v>
      </c>
      <c r="L356" s="103"/>
      <c r="M356" s="94">
        <v>122</v>
      </c>
      <c r="N356" s="103"/>
      <c r="O356" s="103"/>
      <c r="P356" s="91">
        <v>39.130000000000003</v>
      </c>
      <c r="Q356" s="103"/>
      <c r="R356" s="91">
        <v>-47.14</v>
      </c>
      <c r="S356" s="103"/>
      <c r="T356" s="91">
        <v>25969.64</v>
      </c>
      <c r="U356" s="103"/>
      <c r="V356" s="91">
        <v>0</v>
      </c>
      <c r="W356" s="103"/>
      <c r="X356" s="91"/>
      <c r="Y356" s="91"/>
      <c r="Z356" s="91">
        <f t="shared" si="41"/>
        <v>-59547.80999999999</v>
      </c>
      <c r="AA356" s="92">
        <v>-59547.81</v>
      </c>
      <c r="AB356" s="92">
        <f t="shared" si="36"/>
        <v>0</v>
      </c>
    </row>
    <row r="357" spans="1:28" hidden="1" x14ac:dyDescent="0.2">
      <c r="A357" s="95">
        <v>39994</v>
      </c>
      <c r="B357" s="91">
        <v>-118</v>
      </c>
      <c r="C357" s="91">
        <v>-3145.85</v>
      </c>
      <c r="D357" s="91">
        <v>0</v>
      </c>
      <c r="E357" s="91">
        <f t="shared" si="42"/>
        <v>3027.85</v>
      </c>
      <c r="F357" s="91">
        <v>0</v>
      </c>
      <c r="G357" s="90">
        <f t="shared" si="37"/>
        <v>3027.85</v>
      </c>
      <c r="H357" s="91">
        <v>133883.9</v>
      </c>
      <c r="I357" s="91"/>
      <c r="J357" s="91">
        <v>-25.96</v>
      </c>
      <c r="K357" s="90">
        <v>-25.96</v>
      </c>
      <c r="L357" s="103"/>
      <c r="M357" s="94">
        <v>0</v>
      </c>
      <c r="N357" s="103"/>
      <c r="O357" s="103"/>
      <c r="P357" s="91">
        <v>30.72</v>
      </c>
      <c r="Q357" s="103"/>
      <c r="R357" s="91">
        <v>27.48</v>
      </c>
      <c r="S357" s="103"/>
      <c r="T357" s="91">
        <v>13545.68</v>
      </c>
      <c r="U357" s="103"/>
      <c r="V357" s="91">
        <v>0</v>
      </c>
      <c r="W357" s="103"/>
      <c r="X357" s="91"/>
      <c r="Y357" s="91"/>
      <c r="Z357" s="91">
        <f t="shared" ref="Z357:Z370" si="43">G357-H357-J357-P357-R357-T357+V357</f>
        <v>-144433.96999999997</v>
      </c>
      <c r="AA357" s="92">
        <v>-144433.97</v>
      </c>
      <c r="AB357" s="92">
        <f t="shared" si="36"/>
        <v>0</v>
      </c>
    </row>
    <row r="358" spans="1:28" hidden="1" x14ac:dyDescent="0.2">
      <c r="A358" s="95">
        <v>40086</v>
      </c>
      <c r="B358" s="91">
        <v>-742</v>
      </c>
      <c r="C358" s="91">
        <v>1142.3699999999999</v>
      </c>
      <c r="D358" s="91">
        <v>0</v>
      </c>
      <c r="E358" s="91">
        <f t="shared" si="42"/>
        <v>-1884.37</v>
      </c>
      <c r="F358" s="91">
        <v>0</v>
      </c>
      <c r="G358" s="90">
        <f t="shared" si="37"/>
        <v>-1884.37</v>
      </c>
      <c r="H358" s="91">
        <v>113303.3</v>
      </c>
      <c r="I358" s="91"/>
      <c r="J358" s="91">
        <v>-163.24</v>
      </c>
      <c r="K358" s="90">
        <v>-163.24</v>
      </c>
      <c r="L358" s="103"/>
      <c r="M358" s="94">
        <v>0</v>
      </c>
      <c r="N358" s="103"/>
      <c r="O358" s="103"/>
      <c r="P358" s="91">
        <v>30.43</v>
      </c>
      <c r="Q358" s="103"/>
      <c r="R358" s="91">
        <v>-312.94</v>
      </c>
      <c r="S358" s="103"/>
      <c r="T358" s="91">
        <v>30246.14</v>
      </c>
      <c r="U358" s="103"/>
      <c r="V358" s="91">
        <v>0</v>
      </c>
      <c r="W358" s="103"/>
      <c r="X358" s="91"/>
      <c r="Y358" s="91"/>
      <c r="Z358" s="91">
        <f t="shared" si="43"/>
        <v>-144988.06</v>
      </c>
      <c r="AA358" s="92">
        <v>-144988.06</v>
      </c>
      <c r="AB358" s="92">
        <f t="shared" si="36"/>
        <v>0</v>
      </c>
    </row>
    <row r="359" spans="1:28" hidden="1" x14ac:dyDescent="0.2">
      <c r="A359" s="95">
        <v>40178</v>
      </c>
      <c r="B359" s="91">
        <v>130317</v>
      </c>
      <c r="C359" s="91">
        <v>128550.57</v>
      </c>
      <c r="D359" s="91">
        <v>0</v>
      </c>
      <c r="E359" s="91">
        <f t="shared" si="42"/>
        <v>1766.429999999993</v>
      </c>
      <c r="F359" s="91">
        <v>0</v>
      </c>
      <c r="G359" s="90">
        <f t="shared" si="37"/>
        <v>1766.429999999993</v>
      </c>
      <c r="H359" s="91">
        <v>-78592.36</v>
      </c>
      <c r="I359" s="91"/>
      <c r="J359" s="91">
        <v>27964.54</v>
      </c>
      <c r="K359" s="90">
        <v>27842.54</v>
      </c>
      <c r="L359" s="103"/>
      <c r="M359" s="94">
        <v>122</v>
      </c>
      <c r="N359" s="103"/>
      <c r="O359" s="103"/>
      <c r="P359" s="91">
        <v>-16.79</v>
      </c>
      <c r="Q359" s="103"/>
      <c r="R359" s="91">
        <v>5401.36</v>
      </c>
      <c r="S359" s="103"/>
      <c r="T359" s="91">
        <v>16830.36</v>
      </c>
      <c r="U359" s="103"/>
      <c r="V359" s="91">
        <v>0</v>
      </c>
      <c r="W359" s="103"/>
      <c r="X359" s="91"/>
      <c r="Y359" s="91"/>
      <c r="Z359" s="91">
        <f t="shared" si="43"/>
        <v>30179.319999999992</v>
      </c>
      <c r="AA359" s="92">
        <v>30179.65</v>
      </c>
      <c r="AB359" s="92">
        <f t="shared" si="36"/>
        <v>-0.33000000000902219</v>
      </c>
    </row>
    <row r="360" spans="1:28" hidden="1" x14ac:dyDescent="0.2">
      <c r="A360" s="140">
        <v>40268</v>
      </c>
      <c r="B360" s="91">
        <v>0</v>
      </c>
      <c r="C360" s="91">
        <v>-2935.66</v>
      </c>
      <c r="D360" s="91">
        <v>0</v>
      </c>
      <c r="E360" s="91">
        <f t="shared" si="42"/>
        <v>2935.66</v>
      </c>
      <c r="F360" s="91"/>
      <c r="G360" s="90">
        <f t="shared" si="37"/>
        <v>2935.66</v>
      </c>
      <c r="H360" s="91">
        <v>-50423.06</v>
      </c>
      <c r="I360" s="91"/>
      <c r="J360" s="91">
        <v>0</v>
      </c>
      <c r="K360" s="90">
        <v>0</v>
      </c>
      <c r="L360" s="103"/>
      <c r="M360" s="94">
        <v>0</v>
      </c>
      <c r="N360" s="103"/>
      <c r="O360" s="103"/>
      <c r="P360" s="91">
        <v>-7.45</v>
      </c>
      <c r="Q360" s="103"/>
      <c r="R360" s="91">
        <v>-5143.9399999999996</v>
      </c>
      <c r="S360" s="103"/>
      <c r="T360" s="91">
        <v>5334.36</v>
      </c>
      <c r="U360" s="103"/>
      <c r="V360" s="91">
        <v>0</v>
      </c>
      <c r="W360" s="103"/>
      <c r="X360" s="91"/>
      <c r="Y360" s="91"/>
      <c r="Z360" s="91">
        <f t="shared" si="43"/>
        <v>53175.75</v>
      </c>
      <c r="AA360" s="92">
        <v>53175.75</v>
      </c>
      <c r="AB360" s="92">
        <f t="shared" si="36"/>
        <v>0</v>
      </c>
    </row>
    <row r="361" spans="1:28" hidden="1" x14ac:dyDescent="0.2">
      <c r="A361" s="95">
        <v>40359</v>
      </c>
      <c r="B361" s="91">
        <v>0</v>
      </c>
      <c r="C361" s="91">
        <v>-3175.82</v>
      </c>
      <c r="D361" s="91">
        <v>0</v>
      </c>
      <c r="E361" s="91">
        <f t="shared" si="42"/>
        <v>3175.82</v>
      </c>
      <c r="F361" s="91">
        <v>0</v>
      </c>
      <c r="G361" s="90">
        <f t="shared" si="37"/>
        <v>3175.82</v>
      </c>
      <c r="H361" s="91">
        <v>192981.05</v>
      </c>
      <c r="I361" s="91"/>
      <c r="J361" s="91">
        <v>0</v>
      </c>
      <c r="K361" s="90">
        <v>0</v>
      </c>
      <c r="L361" s="103"/>
      <c r="M361" s="94">
        <v>0</v>
      </c>
      <c r="N361" s="103"/>
      <c r="O361" s="103"/>
      <c r="P361" s="91">
        <v>0.43</v>
      </c>
      <c r="Q361" s="103"/>
      <c r="R361" s="91">
        <v>170.96</v>
      </c>
      <c r="S361" s="103"/>
      <c r="T361" s="91">
        <v>5132.54</v>
      </c>
      <c r="U361" s="103"/>
      <c r="V361" s="91">
        <v>0</v>
      </c>
      <c r="W361" s="103"/>
      <c r="X361" s="91"/>
      <c r="Y361" s="91"/>
      <c r="Z361" s="91">
        <f t="shared" si="43"/>
        <v>-195109.15999999997</v>
      </c>
      <c r="AA361" s="92">
        <v>-195109.16</v>
      </c>
      <c r="AB361" s="92">
        <f t="shared" si="36"/>
        <v>0</v>
      </c>
    </row>
    <row r="362" spans="1:28" hidden="1" x14ac:dyDescent="0.2">
      <c r="A362" s="140">
        <v>40451</v>
      </c>
      <c r="B362" s="91">
        <v>0</v>
      </c>
      <c r="C362" s="91">
        <v>-904.03</v>
      </c>
      <c r="D362" s="91">
        <v>0</v>
      </c>
      <c r="E362" s="91">
        <f t="shared" si="42"/>
        <v>904.03</v>
      </c>
      <c r="F362" s="91">
        <v>0</v>
      </c>
      <c r="G362" s="90">
        <f t="shared" si="37"/>
        <v>904.03</v>
      </c>
      <c r="H362" s="91">
        <v>31341.49</v>
      </c>
      <c r="I362" s="91"/>
      <c r="J362" s="91">
        <v>0</v>
      </c>
      <c r="K362" s="90">
        <v>0</v>
      </c>
      <c r="L362" s="103"/>
      <c r="M362" s="94">
        <v>0</v>
      </c>
      <c r="N362" s="103"/>
      <c r="O362" s="103">
        <v>0</v>
      </c>
      <c r="P362" s="91">
        <v>1.52</v>
      </c>
      <c r="Q362" s="103"/>
      <c r="R362" s="91">
        <v>36.590000000000003</v>
      </c>
      <c r="S362" s="103"/>
      <c r="T362" s="91">
        <v>14027.1</v>
      </c>
      <c r="U362" s="103"/>
      <c r="V362" s="91">
        <v>0</v>
      </c>
      <c r="W362" s="103"/>
      <c r="X362" s="91"/>
      <c r="Y362" s="91"/>
      <c r="Z362" s="91">
        <f t="shared" si="43"/>
        <v>-44502.670000000006</v>
      </c>
      <c r="AA362" s="92">
        <v>-44502.67</v>
      </c>
      <c r="AB362" s="92">
        <f t="shared" si="36"/>
        <v>0</v>
      </c>
    </row>
    <row r="363" spans="1:28" hidden="1" x14ac:dyDescent="0.2">
      <c r="A363" s="140">
        <v>40543</v>
      </c>
      <c r="B363" s="91">
        <v>0</v>
      </c>
      <c r="C363" s="91">
        <v>-783.51</v>
      </c>
      <c r="D363" s="91">
        <v>0</v>
      </c>
      <c r="E363" s="91">
        <f t="shared" si="42"/>
        <v>783.51</v>
      </c>
      <c r="F363" s="91">
        <v>0</v>
      </c>
      <c r="G363" s="90">
        <f t="shared" si="37"/>
        <v>783.51</v>
      </c>
      <c r="H363" s="91">
        <v>-8964.92</v>
      </c>
      <c r="I363" s="91"/>
      <c r="J363" s="91">
        <v>0</v>
      </c>
      <c r="K363" s="90">
        <v>0</v>
      </c>
      <c r="L363" s="103"/>
      <c r="M363" s="94">
        <v>0</v>
      </c>
      <c r="N363" s="103"/>
      <c r="O363" s="103">
        <v>0</v>
      </c>
      <c r="P363" s="91">
        <v>9.09</v>
      </c>
      <c r="Q363" s="103"/>
      <c r="R363" s="91">
        <v>628.27</v>
      </c>
      <c r="S363" s="103"/>
      <c r="T363" s="91">
        <v>5939.42</v>
      </c>
      <c r="U363" s="103"/>
      <c r="V363" s="91">
        <v>0</v>
      </c>
      <c r="W363" s="103"/>
      <c r="X363" s="91"/>
      <c r="Y363" s="91"/>
      <c r="Z363" s="91">
        <f t="shared" si="43"/>
        <v>3171.6499999999996</v>
      </c>
      <c r="AA363" s="92">
        <v>3171.65</v>
      </c>
      <c r="AB363" s="92">
        <f t="shared" si="36"/>
        <v>0</v>
      </c>
    </row>
    <row r="364" spans="1:28" hidden="1" x14ac:dyDescent="0.2">
      <c r="A364" s="288">
        <v>40633</v>
      </c>
      <c r="B364" s="91">
        <v>0</v>
      </c>
      <c r="C364" s="91">
        <v>-286.88</v>
      </c>
      <c r="D364" s="91">
        <v>0</v>
      </c>
      <c r="E364" s="91">
        <f t="shared" si="42"/>
        <v>286.88</v>
      </c>
      <c r="F364" s="91">
        <v>0</v>
      </c>
      <c r="G364" s="90">
        <f t="shared" si="37"/>
        <v>286.88</v>
      </c>
      <c r="H364" s="91">
        <v>-66673.83</v>
      </c>
      <c r="I364" s="91"/>
      <c r="J364" s="91">
        <v>0</v>
      </c>
      <c r="K364" s="90">
        <v>0</v>
      </c>
      <c r="L364" s="103"/>
      <c r="M364" s="94">
        <v>0</v>
      </c>
      <c r="N364" s="103"/>
      <c r="O364" s="103">
        <v>0</v>
      </c>
      <c r="P364" s="91">
        <v>0.3</v>
      </c>
      <c r="Q364" s="103"/>
      <c r="R364" s="91">
        <v>0</v>
      </c>
      <c r="S364" s="103"/>
      <c r="T364" s="91">
        <v>3742.4</v>
      </c>
      <c r="U364" s="103"/>
      <c r="V364" s="91">
        <v>0</v>
      </c>
      <c r="W364" s="103"/>
      <c r="X364" s="91"/>
      <c r="Y364" s="91"/>
      <c r="Z364" s="91">
        <f t="shared" si="43"/>
        <v>63218.01</v>
      </c>
      <c r="AA364" s="92">
        <v>63218.01</v>
      </c>
      <c r="AB364" s="92">
        <f t="shared" si="36"/>
        <v>0</v>
      </c>
    </row>
    <row r="365" spans="1:28" hidden="1" x14ac:dyDescent="0.2">
      <c r="A365" s="288">
        <v>40724</v>
      </c>
      <c r="B365" s="91">
        <v>3067</v>
      </c>
      <c r="C365" s="91">
        <v>2057.29</v>
      </c>
      <c r="D365" s="91">
        <v>0</v>
      </c>
      <c r="E365" s="91">
        <f t="shared" si="42"/>
        <v>1009.71</v>
      </c>
      <c r="F365" s="91">
        <v>0</v>
      </c>
      <c r="G365" s="90">
        <f t="shared" si="37"/>
        <v>1009.71</v>
      </c>
      <c r="H365" s="91">
        <v>16347.25</v>
      </c>
      <c r="I365" s="91"/>
      <c r="J365" s="91">
        <v>768.5</v>
      </c>
      <c r="K365" s="90">
        <v>646.5</v>
      </c>
      <c r="L365" s="103"/>
      <c r="M365" s="94">
        <v>122</v>
      </c>
      <c r="N365" s="103"/>
      <c r="O365" s="103"/>
      <c r="P365" s="91">
        <v>-0.18</v>
      </c>
      <c r="Q365" s="103"/>
      <c r="R365" s="91">
        <v>29.71</v>
      </c>
      <c r="S365" s="103"/>
      <c r="T365" s="91">
        <v>5133.41</v>
      </c>
      <c r="U365" s="103"/>
      <c r="V365" s="91">
        <v>0</v>
      </c>
      <c r="W365" s="103"/>
      <c r="X365" s="91"/>
      <c r="Y365" s="91"/>
      <c r="Z365" s="91">
        <f t="shared" si="43"/>
        <v>-21268.98</v>
      </c>
      <c r="AA365" s="92">
        <v>-21268.98</v>
      </c>
      <c r="AB365" s="92">
        <f t="shared" si="36"/>
        <v>0</v>
      </c>
    </row>
    <row r="366" spans="1:28" hidden="1" x14ac:dyDescent="0.2">
      <c r="A366" s="288">
        <v>40816</v>
      </c>
      <c r="B366" s="91">
        <v>0</v>
      </c>
      <c r="C366" s="91">
        <v>-363.32</v>
      </c>
      <c r="D366" s="91">
        <v>0</v>
      </c>
      <c r="E366" s="91">
        <f t="shared" si="42"/>
        <v>363.32</v>
      </c>
      <c r="F366" s="91">
        <v>0</v>
      </c>
      <c r="G366" s="90">
        <f t="shared" si="37"/>
        <v>363.32</v>
      </c>
      <c r="H366" s="91">
        <v>16246.48</v>
      </c>
      <c r="I366" s="91"/>
      <c r="J366" s="91">
        <v>0</v>
      </c>
      <c r="K366" s="90">
        <v>0</v>
      </c>
      <c r="L366" s="103"/>
      <c r="M366" s="94">
        <v>0</v>
      </c>
      <c r="N366" s="103"/>
      <c r="O366" s="103"/>
      <c r="P366" s="91">
        <v>-0.67</v>
      </c>
      <c r="Q366" s="103"/>
      <c r="R366" s="91">
        <v>2833.37</v>
      </c>
      <c r="S366" s="103"/>
      <c r="T366" s="91">
        <v>3994.53</v>
      </c>
      <c r="U366" s="103"/>
      <c r="V366" s="91">
        <v>0</v>
      </c>
      <c r="W366" s="103"/>
      <c r="X366" s="91"/>
      <c r="Y366" s="91"/>
      <c r="Z366" s="91">
        <f t="shared" si="43"/>
        <v>-22710.39</v>
      </c>
      <c r="AA366" s="92">
        <v>-22710.39</v>
      </c>
      <c r="AB366" s="92">
        <f t="shared" si="36"/>
        <v>0</v>
      </c>
    </row>
    <row r="367" spans="1:28" hidden="1" x14ac:dyDescent="0.2">
      <c r="A367" s="288">
        <v>40908</v>
      </c>
      <c r="B367" s="91">
        <v>0</v>
      </c>
      <c r="C367" s="91">
        <v>-605.54</v>
      </c>
      <c r="D367" s="91">
        <v>0</v>
      </c>
      <c r="E367" s="91">
        <f t="shared" si="42"/>
        <v>605.54</v>
      </c>
      <c r="F367" s="91">
        <v>0</v>
      </c>
      <c r="G367" s="90">
        <f t="shared" si="37"/>
        <v>605.54</v>
      </c>
      <c r="H367" s="91">
        <v>18516.03</v>
      </c>
      <c r="I367" s="91"/>
      <c r="J367" s="91">
        <v>0</v>
      </c>
      <c r="K367" s="90">
        <v>0</v>
      </c>
      <c r="L367" s="103"/>
      <c r="M367" s="94">
        <v>0</v>
      </c>
      <c r="N367" s="103"/>
      <c r="O367" s="103">
        <v>0</v>
      </c>
      <c r="P367" s="91">
        <v>0.46</v>
      </c>
      <c r="Q367" s="103"/>
      <c r="R367" s="91">
        <v>128.43</v>
      </c>
      <c r="S367" s="103"/>
      <c r="T367" s="91">
        <v>5907.63</v>
      </c>
      <c r="U367" s="103"/>
      <c r="V367" s="91">
        <v>0</v>
      </c>
      <c r="W367" s="103"/>
      <c r="X367" s="91"/>
      <c r="Y367" s="91"/>
      <c r="Z367" s="91">
        <f t="shared" si="43"/>
        <v>-23947.01</v>
      </c>
      <c r="AA367" s="92">
        <v>-23947.01</v>
      </c>
      <c r="AB367" s="92">
        <f t="shared" si="36"/>
        <v>0</v>
      </c>
    </row>
    <row r="368" spans="1:28" hidden="1" x14ac:dyDescent="0.2">
      <c r="A368" s="288">
        <v>40999</v>
      </c>
      <c r="B368" s="91">
        <v>0</v>
      </c>
      <c r="C368" s="91">
        <v>-506.76</v>
      </c>
      <c r="D368" s="91">
        <v>0</v>
      </c>
      <c r="E368" s="91">
        <f t="shared" si="42"/>
        <v>506.76</v>
      </c>
      <c r="F368" s="91">
        <v>0</v>
      </c>
      <c r="G368" s="90">
        <f t="shared" si="37"/>
        <v>506.76</v>
      </c>
      <c r="H368" s="91">
        <v>23348.54</v>
      </c>
      <c r="I368" s="91"/>
      <c r="J368" s="91">
        <v>0</v>
      </c>
      <c r="K368" s="90">
        <v>0</v>
      </c>
      <c r="L368" s="103"/>
      <c r="M368" s="94">
        <v>0</v>
      </c>
      <c r="N368" s="103"/>
      <c r="O368" s="103">
        <v>0</v>
      </c>
      <c r="P368" s="91">
        <v>0</v>
      </c>
      <c r="Q368" s="103"/>
      <c r="R368" s="91">
        <v>13.66</v>
      </c>
      <c r="S368" s="103"/>
      <c r="T368" s="91">
        <v>4576.78</v>
      </c>
      <c r="U368" s="103"/>
      <c r="V368" s="91">
        <v>0</v>
      </c>
      <c r="W368" s="103"/>
      <c r="X368" s="91"/>
      <c r="Y368" s="91"/>
      <c r="Z368" s="91">
        <f t="shared" si="43"/>
        <v>-27432.22</v>
      </c>
      <c r="AA368" s="92">
        <v>-27432.22</v>
      </c>
      <c r="AB368" s="92">
        <f t="shared" si="36"/>
        <v>0</v>
      </c>
    </row>
    <row r="369" spans="1:28" hidden="1" x14ac:dyDescent="0.2">
      <c r="A369" s="288">
        <v>41090</v>
      </c>
      <c r="B369" s="91">
        <v>0</v>
      </c>
      <c r="C369" s="91">
        <v>-490.72</v>
      </c>
      <c r="D369" s="91">
        <v>0</v>
      </c>
      <c r="E369" s="91">
        <f t="shared" si="42"/>
        <v>490.72</v>
      </c>
      <c r="F369" s="91">
        <v>0</v>
      </c>
      <c r="G369" s="90">
        <f t="shared" si="37"/>
        <v>490.72</v>
      </c>
      <c r="H369" s="91">
        <v>18700.62</v>
      </c>
      <c r="I369" s="91"/>
      <c r="J369" s="91">
        <v>0</v>
      </c>
      <c r="K369" s="90">
        <v>0</v>
      </c>
      <c r="L369" s="103"/>
      <c r="M369" s="94">
        <v>0</v>
      </c>
      <c r="N369" s="103"/>
      <c r="O369" s="103">
        <v>0</v>
      </c>
      <c r="P369" s="91">
        <v>0</v>
      </c>
      <c r="Q369" s="103"/>
      <c r="R369" s="91">
        <v>9.92</v>
      </c>
      <c r="S369" s="103"/>
      <c r="T369" s="91">
        <v>4254.54</v>
      </c>
      <c r="U369" s="103"/>
      <c r="V369" s="91">
        <v>0</v>
      </c>
      <c r="W369" s="103"/>
      <c r="X369" s="91"/>
      <c r="Y369" s="91"/>
      <c r="Z369" s="91">
        <f t="shared" si="43"/>
        <v>-22474.359999999997</v>
      </c>
      <c r="AA369" s="92">
        <v>-22474.36</v>
      </c>
      <c r="AB369" s="92">
        <f t="shared" si="36"/>
        <v>0</v>
      </c>
    </row>
    <row r="370" spans="1:28" hidden="1" x14ac:dyDescent="0.2">
      <c r="A370" s="288">
        <v>41182</v>
      </c>
      <c r="B370" s="91">
        <v>0</v>
      </c>
      <c r="C370" s="91">
        <v>-3982.65</v>
      </c>
      <c r="D370" s="91">
        <v>0</v>
      </c>
      <c r="E370" s="91">
        <f t="shared" si="42"/>
        <v>3982.65</v>
      </c>
      <c r="F370" s="91">
        <v>0</v>
      </c>
      <c r="G370" s="90">
        <f t="shared" si="37"/>
        <v>3982.65</v>
      </c>
      <c r="H370" s="91">
        <v>24097.599999999999</v>
      </c>
      <c r="I370" s="91"/>
      <c r="J370" s="91">
        <v>0</v>
      </c>
      <c r="K370" s="90">
        <v>0</v>
      </c>
      <c r="L370" s="103"/>
      <c r="M370" s="94">
        <v>0</v>
      </c>
      <c r="N370" s="103"/>
      <c r="O370" s="103">
        <v>0</v>
      </c>
      <c r="P370" s="91">
        <v>0</v>
      </c>
      <c r="Q370" s="103"/>
      <c r="R370" s="91">
        <v>199.58</v>
      </c>
      <c r="S370" s="103"/>
      <c r="T370" s="91">
        <v>665.09</v>
      </c>
      <c r="U370" s="103"/>
      <c r="V370" s="91">
        <v>0</v>
      </c>
      <c r="W370" s="103"/>
      <c r="X370" s="91"/>
      <c r="Y370" s="91"/>
      <c r="Z370" s="91">
        <f t="shared" si="43"/>
        <v>-20979.62</v>
      </c>
      <c r="AA370" s="92">
        <v>-20979.62</v>
      </c>
      <c r="AB370" s="92">
        <f t="shared" si="36"/>
        <v>0</v>
      </c>
    </row>
    <row r="371" spans="1:28" hidden="1" x14ac:dyDescent="0.2">
      <c r="A371" s="95"/>
      <c r="B371" s="96">
        <f t="shared" ref="B371:H371" si="44">SUM(B328:B370)</f>
        <v>74559987</v>
      </c>
      <c r="C371" s="96">
        <f t="shared" si="44"/>
        <v>3588675.6200000024</v>
      </c>
      <c r="D371" s="96">
        <f t="shared" si="44"/>
        <v>0</v>
      </c>
      <c r="E371" s="96">
        <f t="shared" si="44"/>
        <v>27443.349999999991</v>
      </c>
      <c r="F371" s="96">
        <f t="shared" si="44"/>
        <v>0</v>
      </c>
      <c r="G371" s="96">
        <f t="shared" si="44"/>
        <v>70971311.379999965</v>
      </c>
      <c r="H371" s="96">
        <f t="shared" si="44"/>
        <v>35108465.23999998</v>
      </c>
      <c r="I371" s="96">
        <f>SUM(I328:I361)</f>
        <v>0</v>
      </c>
      <c r="J371" s="96">
        <f>SUM(J328:J370)</f>
        <v>18517006.649999991</v>
      </c>
      <c r="K371" s="96">
        <f>SUM(K328:K370)</f>
        <v>14514787.780000001</v>
      </c>
      <c r="L371" s="97">
        <f>K324/G324</f>
        <v>0.21052575660568484</v>
      </c>
      <c r="M371" s="96">
        <f>SUM(M328:M370)</f>
        <v>4002218.87</v>
      </c>
      <c r="N371" s="97">
        <f>M324/G324</f>
        <v>7.3084364013893982E-2</v>
      </c>
      <c r="O371" s="96">
        <f>SUM(O328:O361)</f>
        <v>0</v>
      </c>
      <c r="P371" s="96">
        <f>SUM(P328:P370)</f>
        <v>1298921.2099999997</v>
      </c>
      <c r="Q371" s="96">
        <f>SUM(Q328:Q361)</f>
        <v>0</v>
      </c>
      <c r="R371" s="96">
        <f>SUM(R328:R370)</f>
        <v>3237480.8300000005</v>
      </c>
      <c r="S371" s="96">
        <f>SUM(S328:S361)</f>
        <v>0</v>
      </c>
      <c r="T371" s="96">
        <f>SUM(T328:T370)</f>
        <v>4566683.8899999997</v>
      </c>
      <c r="U371" s="96">
        <f>SUM(U328:U361)</f>
        <v>0</v>
      </c>
      <c r="V371" s="96">
        <f>SUM(V328:V370)</f>
        <v>97745.739999999991</v>
      </c>
      <c r="W371" s="96">
        <f>SUM(W328:W361)</f>
        <v>0</v>
      </c>
      <c r="X371" s="96">
        <f>SUM(X328:X361)</f>
        <v>2770000</v>
      </c>
      <c r="Y371" s="96">
        <f>SUM(Y328:Y361)</f>
        <v>0</v>
      </c>
      <c r="Z371" s="96">
        <f>SUM(Z328:Z370)</f>
        <v>8340499.2999999998</v>
      </c>
    </row>
    <row r="372" spans="1:28" hidden="1" x14ac:dyDescent="0.2">
      <c r="A372" s="98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100"/>
      <c r="M372" s="100"/>
      <c r="N372" s="100"/>
      <c r="O372" s="100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101">
        <f>G371-H371-J371-P371-R371-T371+V371</f>
        <v>8340499.2999999961</v>
      </c>
    </row>
    <row r="373" spans="1:28" x14ac:dyDescent="0.2">
      <c r="A373" s="82" t="s">
        <v>128</v>
      </c>
      <c r="Z373" s="102" t="str">
        <f>IF(ROUND(Z372,2)= ROUND(Z371,2),"Check","NO")</f>
        <v>Check</v>
      </c>
    </row>
    <row r="374" spans="1:28" ht="38.25" x14ac:dyDescent="0.2">
      <c r="A374" s="86" t="s">
        <v>143</v>
      </c>
      <c r="B374" s="87" t="s">
        <v>144</v>
      </c>
      <c r="C374" s="87" t="s">
        <v>145</v>
      </c>
      <c r="D374" s="87" t="s">
        <v>170</v>
      </c>
      <c r="E374" s="87" t="s">
        <v>171</v>
      </c>
      <c r="F374" s="87" t="s">
        <v>172</v>
      </c>
      <c r="G374" s="87" t="s">
        <v>146</v>
      </c>
      <c r="H374" s="87" t="s">
        <v>147</v>
      </c>
      <c r="I374" s="87" t="s">
        <v>148</v>
      </c>
      <c r="J374" s="87" t="s">
        <v>169</v>
      </c>
      <c r="K374" s="87" t="s">
        <v>136</v>
      </c>
      <c r="L374" s="87" t="s">
        <v>149</v>
      </c>
      <c r="M374" s="87" t="s">
        <v>163</v>
      </c>
      <c r="N374" s="87" t="s">
        <v>164</v>
      </c>
      <c r="O374" s="87" t="s">
        <v>207</v>
      </c>
      <c r="P374" s="87" t="s">
        <v>150</v>
      </c>
      <c r="Q374" s="87" t="s">
        <v>151</v>
      </c>
      <c r="R374" s="87" t="s">
        <v>152</v>
      </c>
      <c r="S374" s="87" t="s">
        <v>153</v>
      </c>
      <c r="T374" s="87" t="s">
        <v>154</v>
      </c>
      <c r="U374" s="87" t="s">
        <v>155</v>
      </c>
      <c r="V374" s="87" t="s">
        <v>156</v>
      </c>
      <c r="W374" s="87" t="s">
        <v>157</v>
      </c>
      <c r="X374" s="87" t="s">
        <v>165</v>
      </c>
      <c r="Y374" s="87" t="s">
        <v>166</v>
      </c>
      <c r="Z374" s="87" t="s">
        <v>158</v>
      </c>
      <c r="AA374" s="87" t="s">
        <v>173</v>
      </c>
      <c r="AB374" s="87" t="s">
        <v>175</v>
      </c>
    </row>
    <row r="375" spans="1:28" x14ac:dyDescent="0.2">
      <c r="A375" s="95">
        <v>37711</v>
      </c>
      <c r="B375" s="91">
        <v>15459648.51</v>
      </c>
      <c r="C375" s="91">
        <v>0</v>
      </c>
      <c r="D375" s="90"/>
      <c r="E375" s="90"/>
      <c r="F375" s="90"/>
      <c r="G375" s="108">
        <f>B375-C375</f>
        <v>15459648.51</v>
      </c>
      <c r="H375" s="91">
        <v>78919.38</v>
      </c>
      <c r="I375" s="91"/>
      <c r="J375" s="91">
        <f>K375+M375</f>
        <v>4234695.05</v>
      </c>
      <c r="K375" s="114">
        <v>2949507.92</v>
      </c>
      <c r="L375" s="112"/>
      <c r="M375" s="89">
        <v>1285187.1299999999</v>
      </c>
      <c r="N375" s="103"/>
      <c r="O375" s="103"/>
      <c r="P375" s="91">
        <v>330609.40999999997</v>
      </c>
      <c r="Q375" s="112">
        <f>P375/G375</f>
        <v>2.1385312207204896E-2</v>
      </c>
      <c r="R375" s="91">
        <v>804915.36</v>
      </c>
      <c r="S375" s="115">
        <f>R375/G375</f>
        <v>5.2065566657569499E-2</v>
      </c>
      <c r="T375" s="91">
        <v>7622.93</v>
      </c>
      <c r="U375" s="115">
        <f>T375/G375</f>
        <v>4.9308559603209248E-4</v>
      </c>
      <c r="V375" s="91">
        <v>17335.37</v>
      </c>
      <c r="W375" s="115">
        <f>V375/G375</f>
        <v>1.121330151121269E-3</v>
      </c>
      <c r="X375" s="116"/>
      <c r="Y375" s="115"/>
      <c r="Z375" s="91">
        <f>B375-C375-H375-J375-P375-R375-T375+V375</f>
        <v>10020221.749999998</v>
      </c>
      <c r="AA375" s="92">
        <v>9968538.5899999999</v>
      </c>
      <c r="AB375" s="92">
        <f t="shared" ref="AB375:AB417" si="45">Z375-AA375</f>
        <v>51683.159999998286</v>
      </c>
    </row>
    <row r="376" spans="1:28" x14ac:dyDescent="0.2">
      <c r="A376" s="95">
        <v>37802</v>
      </c>
      <c r="B376" s="91">
        <v>24259850.899999999</v>
      </c>
      <c r="C376" s="91">
        <v>0</v>
      </c>
      <c r="D376" s="91"/>
      <c r="E376" s="91"/>
      <c r="F376" s="91"/>
      <c r="G376" s="91">
        <f>B376-C376</f>
        <v>24259850.899999999</v>
      </c>
      <c r="H376" s="91">
        <v>618568.91</v>
      </c>
      <c r="I376" s="91"/>
      <c r="J376" s="91">
        <f t="shared" ref="J376:J396" si="46">K376+M376</f>
        <v>6477083.5600000005</v>
      </c>
      <c r="K376" s="114">
        <v>4764438.24</v>
      </c>
      <c r="L376" s="113"/>
      <c r="M376" s="94">
        <v>1712645.32</v>
      </c>
      <c r="N376" s="113"/>
      <c r="O376" s="113"/>
      <c r="P376" s="91">
        <v>278268.40999999997</v>
      </c>
      <c r="Q376" s="113">
        <f t="shared" ref="Q376:Q393" si="47">P376/G376</f>
        <v>1.1470326472616532E-2</v>
      </c>
      <c r="R376" s="91">
        <v>1149326.06</v>
      </c>
      <c r="S376" s="115">
        <f>R376/G376</f>
        <v>4.7375644011068516E-2</v>
      </c>
      <c r="T376" s="91">
        <v>58570.93</v>
      </c>
      <c r="U376" s="115">
        <f>T376/G376</f>
        <v>2.4143153328283649E-3</v>
      </c>
      <c r="V376" s="91">
        <v>18509.189999999999</v>
      </c>
      <c r="W376" s="115">
        <f>V376/G376</f>
        <v>7.6295563712636008E-4</v>
      </c>
      <c r="X376" s="116"/>
      <c r="Y376" s="115"/>
      <c r="Z376" s="91">
        <f t="shared" ref="Z376:Z417" si="48">B376-C376-H376-J376-P376-R376-T376+V376</f>
        <v>15696542.219999999</v>
      </c>
      <c r="AA376" s="92">
        <v>15653504.710000001</v>
      </c>
      <c r="AB376" s="92">
        <f t="shared" si="45"/>
        <v>43037.509999997914</v>
      </c>
    </row>
    <row r="377" spans="1:28" x14ac:dyDescent="0.2">
      <c r="A377" s="95">
        <v>37894</v>
      </c>
      <c r="B377" s="91">
        <v>27905139.370000001</v>
      </c>
      <c r="C377" s="91">
        <v>0</v>
      </c>
      <c r="D377" s="91"/>
      <c r="E377" s="91"/>
      <c r="F377" s="91"/>
      <c r="G377" s="91">
        <f t="shared" ref="G377:G387" si="49">B377-C377</f>
        <v>27905139.370000001</v>
      </c>
      <c r="H377" s="91">
        <v>1498584.06</v>
      </c>
      <c r="I377" s="91"/>
      <c r="J377" s="91">
        <f t="shared" si="46"/>
        <v>7215460.5200000005</v>
      </c>
      <c r="K377" s="114">
        <v>5483611.5600000005</v>
      </c>
      <c r="L377" s="113"/>
      <c r="M377" s="94">
        <v>1731848.96</v>
      </c>
      <c r="N377" s="113"/>
      <c r="O377" s="113"/>
      <c r="P377" s="91">
        <v>398382.6</v>
      </c>
      <c r="Q377" s="113">
        <f t="shared" si="47"/>
        <v>1.4276316441848323E-2</v>
      </c>
      <c r="R377" s="91">
        <v>1253587.04</v>
      </c>
      <c r="S377" s="115">
        <f t="shared" ref="S377:S393" si="50">R377/G377</f>
        <v>4.4923159973452587E-2</v>
      </c>
      <c r="T377" s="91">
        <v>189438.55</v>
      </c>
      <c r="U377" s="115">
        <f t="shared" ref="U377:U393" si="51">T377/G377</f>
        <v>6.7886616686695291E-3</v>
      </c>
      <c r="V377" s="91">
        <v>22393.75</v>
      </c>
      <c r="W377" s="115">
        <f t="shared" ref="W377:W393" si="52">V377/G377</f>
        <v>8.0249554403139325E-4</v>
      </c>
      <c r="X377" s="116"/>
      <c r="Y377" s="115"/>
      <c r="Z377" s="91">
        <f t="shared" si="48"/>
        <v>17372080.350000001</v>
      </c>
      <c r="AA377" s="92">
        <v>17307249.91</v>
      </c>
      <c r="AB377" s="92">
        <f t="shared" si="45"/>
        <v>64830.440000001341</v>
      </c>
    </row>
    <row r="378" spans="1:28" x14ac:dyDescent="0.2">
      <c r="A378" s="95">
        <v>37986</v>
      </c>
      <c r="B378" s="91">
        <v>22248180.239999998</v>
      </c>
      <c r="C378" s="91">
        <v>47213</v>
      </c>
      <c r="D378" s="91"/>
      <c r="E378" s="91"/>
      <c r="F378" s="91"/>
      <c r="G378" s="91">
        <f t="shared" si="49"/>
        <v>22200967.239999998</v>
      </c>
      <c r="H378" s="91">
        <v>2982627.31</v>
      </c>
      <c r="I378" s="91"/>
      <c r="J378" s="91">
        <f t="shared" si="46"/>
        <v>5915884.4800000004</v>
      </c>
      <c r="K378" s="114">
        <v>4334941.78</v>
      </c>
      <c r="L378" s="113"/>
      <c r="M378" s="94">
        <v>1580942.7</v>
      </c>
      <c r="N378" s="113"/>
      <c r="O378" s="113"/>
      <c r="P378" s="91">
        <v>407632.15</v>
      </c>
      <c r="Q378" s="113">
        <f t="shared" si="47"/>
        <v>1.8361008580993703E-2</v>
      </c>
      <c r="R378" s="91">
        <v>1040118</v>
      </c>
      <c r="S378" s="115">
        <f t="shared" si="50"/>
        <v>4.6850120931938286E-2</v>
      </c>
      <c r="T378" s="91">
        <v>329855.96999999997</v>
      </c>
      <c r="U378" s="115">
        <f t="shared" si="51"/>
        <v>1.4857729685114385E-2</v>
      </c>
      <c r="V378" s="91">
        <v>12983.89</v>
      </c>
      <c r="W378" s="115">
        <f t="shared" si="52"/>
        <v>5.8483442904265102E-4</v>
      </c>
      <c r="X378" s="116"/>
      <c r="Y378" s="115"/>
      <c r="Z378" s="91">
        <f t="shared" si="48"/>
        <v>11537833.219999999</v>
      </c>
      <c r="AA378" s="92">
        <v>11473047.57</v>
      </c>
      <c r="AB378" s="92">
        <f t="shared" si="45"/>
        <v>64785.64999999851</v>
      </c>
    </row>
    <row r="379" spans="1:28" x14ac:dyDescent="0.2">
      <c r="A379" s="95">
        <v>38077</v>
      </c>
      <c r="B379" s="91">
        <v>7655815.0800000001</v>
      </c>
      <c r="C379" s="91">
        <v>704269.53</v>
      </c>
      <c r="D379" s="91"/>
      <c r="E379" s="91"/>
      <c r="F379" s="91"/>
      <c r="G379" s="91">
        <f t="shared" si="49"/>
        <v>6951545.5499999998</v>
      </c>
      <c r="H379" s="91">
        <v>3991680.94</v>
      </c>
      <c r="I379" s="91"/>
      <c r="J379" s="91">
        <f t="shared" si="46"/>
        <v>1702292.6099999999</v>
      </c>
      <c r="K379" s="114">
        <v>1574744.93</v>
      </c>
      <c r="L379" s="113"/>
      <c r="M379" s="94">
        <v>127547.68</v>
      </c>
      <c r="N379" s="113"/>
      <c r="O379" s="113"/>
      <c r="P379" s="91">
        <v>90245.16</v>
      </c>
      <c r="Q379" s="113">
        <f t="shared" si="47"/>
        <v>1.2982028147682928E-2</v>
      </c>
      <c r="R379" s="91">
        <v>215249.22</v>
      </c>
      <c r="S379" s="115">
        <f t="shared" si="50"/>
        <v>3.0964224926930101E-2</v>
      </c>
      <c r="T379" s="91">
        <v>488155.23</v>
      </c>
      <c r="U379" s="115">
        <f t="shared" si="51"/>
        <v>7.0222546409121928E-2</v>
      </c>
      <c r="V379" s="91">
        <v>0</v>
      </c>
      <c r="W379" s="115">
        <f t="shared" si="52"/>
        <v>0</v>
      </c>
      <c r="X379" s="116"/>
      <c r="Y379" s="115"/>
      <c r="Z379" s="91">
        <f t="shared" si="48"/>
        <v>463922.39000000013</v>
      </c>
      <c r="AA379" s="92">
        <v>464098.5</v>
      </c>
      <c r="AB379" s="92">
        <f t="shared" si="45"/>
        <v>-176.10999999986961</v>
      </c>
    </row>
    <row r="380" spans="1:28" x14ac:dyDescent="0.2">
      <c r="A380" s="95">
        <v>38168</v>
      </c>
      <c r="B380" s="91">
        <v>3966535.97</v>
      </c>
      <c r="C380" s="91">
        <v>269338.96999999997</v>
      </c>
      <c r="D380" s="91"/>
      <c r="E380" s="91"/>
      <c r="F380" s="91"/>
      <c r="G380" s="91">
        <f t="shared" si="49"/>
        <v>3697197</v>
      </c>
      <c r="H380" s="91">
        <v>3922413.97</v>
      </c>
      <c r="I380" s="91"/>
      <c r="J380" s="91">
        <f t="shared" si="46"/>
        <v>747652.72</v>
      </c>
      <c r="K380" s="114">
        <v>831193.13</v>
      </c>
      <c r="L380" s="113"/>
      <c r="M380" s="94">
        <v>-83540.41</v>
      </c>
      <c r="N380" s="113"/>
      <c r="O380" s="113"/>
      <c r="P380" s="91">
        <v>-343859.67</v>
      </c>
      <c r="Q380" s="113">
        <f t="shared" si="47"/>
        <v>-9.3005503899305328E-2</v>
      </c>
      <c r="R380" s="91">
        <v>105671.59</v>
      </c>
      <c r="S380" s="115">
        <f>R380/G380</f>
        <v>2.8581541638165345E-2</v>
      </c>
      <c r="T380" s="91">
        <v>580791.89</v>
      </c>
      <c r="U380" s="115">
        <f t="shared" si="51"/>
        <v>0.15708978720906677</v>
      </c>
      <c r="V380" s="91">
        <v>0</v>
      </c>
      <c r="W380" s="115">
        <f t="shared" si="52"/>
        <v>0</v>
      </c>
      <c r="X380" s="116"/>
      <c r="Y380" s="115"/>
      <c r="Z380" s="91">
        <f t="shared" si="48"/>
        <v>-1315473.5000000002</v>
      </c>
      <c r="AA380" s="92">
        <v>-1315693.5</v>
      </c>
      <c r="AB380" s="92">
        <f t="shared" si="45"/>
        <v>219.99999999976717</v>
      </c>
    </row>
    <row r="381" spans="1:28" x14ac:dyDescent="0.2">
      <c r="A381" s="95">
        <v>38260</v>
      </c>
      <c r="B381" s="91">
        <v>2352354.81</v>
      </c>
      <c r="C381" s="91">
        <v>632297.81999999995</v>
      </c>
      <c r="D381" s="91"/>
      <c r="E381" s="91"/>
      <c r="F381" s="91"/>
      <c r="G381" s="91">
        <f t="shared" si="49"/>
        <v>1720056.9900000002</v>
      </c>
      <c r="H381" s="91">
        <v>3976930.59</v>
      </c>
      <c r="I381" s="91"/>
      <c r="J381" s="91">
        <f t="shared" si="46"/>
        <v>510361.33999999997</v>
      </c>
      <c r="K381" s="114">
        <v>553912.73</v>
      </c>
      <c r="L381" s="113"/>
      <c r="M381" s="94">
        <v>-43551.39</v>
      </c>
      <c r="N381" s="113"/>
      <c r="O381" s="113"/>
      <c r="P381" s="91">
        <v>10355.209999999999</v>
      </c>
      <c r="Q381" s="113">
        <f t="shared" si="47"/>
        <v>6.0202714562382015E-3</v>
      </c>
      <c r="R381" s="91">
        <v>46608.73</v>
      </c>
      <c r="S381" s="115">
        <f t="shared" si="50"/>
        <v>2.7097201006113174E-2</v>
      </c>
      <c r="T381" s="91">
        <v>489098.31</v>
      </c>
      <c r="U381" s="115">
        <f t="shared" si="51"/>
        <v>0.28435006098257243</v>
      </c>
      <c r="V381" s="91">
        <v>0</v>
      </c>
      <c r="W381" s="115">
        <f t="shared" si="52"/>
        <v>0</v>
      </c>
      <c r="X381" s="116"/>
      <c r="Y381" s="115"/>
      <c r="Z381" s="91">
        <f t="shared" si="48"/>
        <v>-3313297.1899999995</v>
      </c>
      <c r="AA381" s="92">
        <v>-3313297.19</v>
      </c>
      <c r="AB381" s="92">
        <f t="shared" si="45"/>
        <v>0</v>
      </c>
    </row>
    <row r="382" spans="1:28" x14ac:dyDescent="0.2">
      <c r="A382" s="95">
        <v>38352</v>
      </c>
      <c r="B382" s="91">
        <v>1328348.1200000001</v>
      </c>
      <c r="C382" s="91">
        <v>501700.73</v>
      </c>
      <c r="D382" s="91"/>
      <c r="E382" s="91"/>
      <c r="F382" s="91"/>
      <c r="G382" s="91">
        <f t="shared" si="49"/>
        <v>826647.39000000013</v>
      </c>
      <c r="H382" s="91">
        <v>3311998.02</v>
      </c>
      <c r="I382" s="91"/>
      <c r="J382" s="91">
        <f t="shared" si="46"/>
        <v>279334.87</v>
      </c>
      <c r="K382" s="114">
        <v>300755.86</v>
      </c>
      <c r="L382" s="113"/>
      <c r="M382" s="94">
        <v>-21420.99</v>
      </c>
      <c r="N382" s="113"/>
      <c r="O382" s="113"/>
      <c r="P382" s="91">
        <v>10141.52</v>
      </c>
      <c r="Q382" s="113">
        <f t="shared" si="47"/>
        <v>1.2268253819805805E-2</v>
      </c>
      <c r="R382" s="91">
        <v>26247.55</v>
      </c>
      <c r="S382" s="115">
        <f t="shared" si="50"/>
        <v>3.175180895448057E-2</v>
      </c>
      <c r="T382" s="91">
        <v>490813.13</v>
      </c>
      <c r="U382" s="115">
        <f t="shared" si="51"/>
        <v>0.59373940562493022</v>
      </c>
      <c r="V382" s="91">
        <v>0</v>
      </c>
      <c r="W382" s="115">
        <f t="shared" si="52"/>
        <v>0</v>
      </c>
      <c r="X382" s="116"/>
      <c r="Y382" s="115"/>
      <c r="Z382" s="91">
        <f t="shared" si="48"/>
        <v>-3291887.6999999997</v>
      </c>
      <c r="AA382" s="92">
        <v>-3291887.67</v>
      </c>
      <c r="AB382" s="92">
        <f t="shared" si="45"/>
        <v>-2.9999999795109034E-2</v>
      </c>
    </row>
    <row r="383" spans="1:28" x14ac:dyDescent="0.2">
      <c r="A383" s="95">
        <v>38442</v>
      </c>
      <c r="B383" s="91">
        <v>-437383</v>
      </c>
      <c r="C383" s="91">
        <v>489939.13</v>
      </c>
      <c r="D383" s="91"/>
      <c r="E383" s="91"/>
      <c r="F383" s="91"/>
      <c r="G383" s="91">
        <f t="shared" si="49"/>
        <v>-927322.13</v>
      </c>
      <c r="H383" s="91">
        <v>3457082.18</v>
      </c>
      <c r="I383" s="91"/>
      <c r="J383" s="91">
        <f t="shared" si="46"/>
        <v>-91265.19</v>
      </c>
      <c r="K383" s="114">
        <v>-76671.19</v>
      </c>
      <c r="L383" s="113"/>
      <c r="M383" s="94">
        <v>-14594</v>
      </c>
      <c r="N383" s="113"/>
      <c r="O383" s="113"/>
      <c r="P383" s="91">
        <v>0</v>
      </c>
      <c r="Q383" s="113">
        <f t="shared" si="47"/>
        <v>0</v>
      </c>
      <c r="R383" s="91">
        <v>-33709.300000000003</v>
      </c>
      <c r="S383" s="115">
        <f t="shared" si="50"/>
        <v>3.6351229965794089E-2</v>
      </c>
      <c r="T383" s="91">
        <v>436360.44</v>
      </c>
      <c r="U383" s="115">
        <f t="shared" si="51"/>
        <v>-0.47055971801298435</v>
      </c>
      <c r="V383" s="91">
        <v>0</v>
      </c>
      <c r="W383" s="115">
        <f t="shared" si="52"/>
        <v>0</v>
      </c>
      <c r="X383" s="116"/>
      <c r="Y383" s="115"/>
      <c r="Z383" s="91">
        <f t="shared" si="48"/>
        <v>-4695790.2600000007</v>
      </c>
      <c r="AA383" s="92">
        <v>-4695790.3099999996</v>
      </c>
      <c r="AB383" s="92">
        <f t="shared" si="45"/>
        <v>4.999999888241291E-2</v>
      </c>
    </row>
    <row r="384" spans="1:28" x14ac:dyDescent="0.2">
      <c r="A384" s="95">
        <v>38533</v>
      </c>
      <c r="B384" s="91">
        <v>-41918</v>
      </c>
      <c r="C384" s="91">
        <v>327401.21000000002</v>
      </c>
      <c r="D384" s="91"/>
      <c r="E384" s="91"/>
      <c r="F384" s="91"/>
      <c r="G384" s="91">
        <f t="shared" si="49"/>
        <v>-369319.21</v>
      </c>
      <c r="H384" s="91">
        <v>2855029.13</v>
      </c>
      <c r="I384" s="91"/>
      <c r="J384" s="91">
        <f t="shared" si="46"/>
        <v>-71362.94</v>
      </c>
      <c r="K384" s="114">
        <v>-64608.94</v>
      </c>
      <c r="L384" s="113"/>
      <c r="M384" s="94">
        <v>-6754</v>
      </c>
      <c r="N384" s="113"/>
      <c r="O384" s="113"/>
      <c r="P384" s="91">
        <v>0</v>
      </c>
      <c r="Q384" s="113">
        <f t="shared" si="47"/>
        <v>0</v>
      </c>
      <c r="R384" s="91">
        <v>-15829.64</v>
      </c>
      <c r="S384" s="115">
        <f t="shared" si="50"/>
        <v>4.2861675134634881E-2</v>
      </c>
      <c r="T384" s="91">
        <v>367251.4</v>
      </c>
      <c r="U384" s="115">
        <f t="shared" si="51"/>
        <v>-0.99440102235678451</v>
      </c>
      <c r="V384" s="91">
        <v>0</v>
      </c>
      <c r="W384" s="115">
        <f t="shared" si="52"/>
        <v>0</v>
      </c>
      <c r="X384" s="116"/>
      <c r="Y384" s="115"/>
      <c r="Z384" s="91">
        <f t="shared" si="48"/>
        <v>-3504407.1599999997</v>
      </c>
      <c r="AA384" s="92">
        <v>-3504407.16</v>
      </c>
      <c r="AB384" s="92">
        <f t="shared" si="45"/>
        <v>0</v>
      </c>
    </row>
    <row r="385" spans="1:28" x14ac:dyDescent="0.2">
      <c r="A385" s="95">
        <v>38625</v>
      </c>
      <c r="B385" s="91">
        <v>-71071</v>
      </c>
      <c r="C385" s="91">
        <v>-42614.75</v>
      </c>
      <c r="D385" s="91"/>
      <c r="E385" s="91"/>
      <c r="F385" s="91"/>
      <c r="G385" s="91">
        <f t="shared" si="49"/>
        <v>-28456.25</v>
      </c>
      <c r="H385" s="91">
        <v>2512343.1</v>
      </c>
      <c r="I385" s="91"/>
      <c r="J385" s="91">
        <f t="shared" si="46"/>
        <v>-17263.27</v>
      </c>
      <c r="K385" s="114">
        <v>-15223.27</v>
      </c>
      <c r="L385" s="113"/>
      <c r="M385" s="94">
        <v>-2040</v>
      </c>
      <c r="N385" s="113"/>
      <c r="O385" s="113"/>
      <c r="P385" s="91">
        <v>0</v>
      </c>
      <c r="Q385" s="113">
        <f t="shared" si="47"/>
        <v>0</v>
      </c>
      <c r="R385" s="91">
        <v>164.53</v>
      </c>
      <c r="S385" s="115">
        <f t="shared" si="50"/>
        <v>-5.7818581155282232E-3</v>
      </c>
      <c r="T385" s="91">
        <v>320169.09000000003</v>
      </c>
      <c r="U385" s="115">
        <f>T385/G385</f>
        <v>-11.251274851746102</v>
      </c>
      <c r="V385" s="91">
        <v>0</v>
      </c>
      <c r="W385" s="115">
        <f t="shared" si="52"/>
        <v>0</v>
      </c>
      <c r="X385" s="116"/>
      <c r="Y385" s="115"/>
      <c r="Z385" s="91">
        <f t="shared" si="48"/>
        <v>-2843869.6999999997</v>
      </c>
      <c r="AA385" s="92">
        <v>-2843869.7</v>
      </c>
      <c r="AB385" s="92">
        <f t="shared" si="45"/>
        <v>0</v>
      </c>
    </row>
    <row r="386" spans="1:28" x14ac:dyDescent="0.2">
      <c r="A386" s="95">
        <v>38717</v>
      </c>
      <c r="B386" s="91">
        <v>86561</v>
      </c>
      <c r="C386" s="91">
        <v>65739.31</v>
      </c>
      <c r="D386" s="91"/>
      <c r="E386" s="91"/>
      <c r="F386" s="91"/>
      <c r="G386" s="91">
        <f t="shared" si="49"/>
        <v>20821.690000000002</v>
      </c>
      <c r="H386" s="91">
        <v>2482049.2200000002</v>
      </c>
      <c r="I386" s="91"/>
      <c r="J386" s="91">
        <f t="shared" si="46"/>
        <v>22894.61</v>
      </c>
      <c r="K386" s="114">
        <v>24020.61</v>
      </c>
      <c r="L386" s="113"/>
      <c r="M386" s="94">
        <v>-1126</v>
      </c>
      <c r="N386" s="113"/>
      <c r="O386" s="113"/>
      <c r="P386" s="91">
        <v>0</v>
      </c>
      <c r="Q386" s="113">
        <f t="shared" si="47"/>
        <v>0</v>
      </c>
      <c r="R386" s="91">
        <v>2897.14</v>
      </c>
      <c r="S386" s="115">
        <f t="shared" si="50"/>
        <v>0.1391404828330457</v>
      </c>
      <c r="T386" s="91">
        <v>323574.14</v>
      </c>
      <c r="U386" s="115">
        <f t="shared" si="51"/>
        <v>15.540243851483716</v>
      </c>
      <c r="V386" s="91">
        <v>0</v>
      </c>
      <c r="W386" s="115">
        <f t="shared" si="52"/>
        <v>0</v>
      </c>
      <c r="X386" s="116"/>
      <c r="Y386" s="115"/>
      <c r="Z386" s="91">
        <f t="shared" si="48"/>
        <v>-2810593.4200000004</v>
      </c>
      <c r="AA386" s="92">
        <v>-2810593.42</v>
      </c>
      <c r="AB386" s="92">
        <f t="shared" si="45"/>
        <v>0</v>
      </c>
    </row>
    <row r="387" spans="1:28" x14ac:dyDescent="0.2">
      <c r="A387" s="95">
        <v>38807</v>
      </c>
      <c r="B387" s="91">
        <v>-98077</v>
      </c>
      <c r="C387" s="91">
        <v>-64169.89</v>
      </c>
      <c r="D387" s="91"/>
      <c r="E387" s="91"/>
      <c r="F387" s="91"/>
      <c r="G387" s="91">
        <f t="shared" si="49"/>
        <v>-33907.11</v>
      </c>
      <c r="H387" s="91">
        <v>1793264.76</v>
      </c>
      <c r="I387" s="91"/>
      <c r="J387" s="91">
        <f t="shared" si="46"/>
        <v>-21061.45</v>
      </c>
      <c r="K387" s="114">
        <v>-20138.45</v>
      </c>
      <c r="L387" s="117"/>
      <c r="M387" s="118">
        <v>-923</v>
      </c>
      <c r="N387" s="117"/>
      <c r="O387" s="117"/>
      <c r="P387" s="91">
        <v>0</v>
      </c>
      <c r="Q387" s="113">
        <f t="shared" si="47"/>
        <v>0</v>
      </c>
      <c r="R387" s="91">
        <v>-2605.11</v>
      </c>
      <c r="S387" s="119">
        <f t="shared" si="50"/>
        <v>7.6830788586818521E-2</v>
      </c>
      <c r="T387" s="91">
        <v>201717.08</v>
      </c>
      <c r="U387" s="119">
        <f t="shared" si="51"/>
        <v>-5.9491086087844112</v>
      </c>
      <c r="V387" s="91">
        <v>0</v>
      </c>
      <c r="W387" s="119">
        <f t="shared" si="52"/>
        <v>0</v>
      </c>
      <c r="X387" s="120">
        <v>3776000</v>
      </c>
      <c r="Y387" s="119"/>
      <c r="Z387" s="91">
        <f t="shared" si="48"/>
        <v>-2005222.3900000001</v>
      </c>
      <c r="AA387" s="92">
        <v>-2005222.39</v>
      </c>
      <c r="AB387" s="92">
        <f t="shared" si="45"/>
        <v>0</v>
      </c>
    </row>
    <row r="388" spans="1:28" x14ac:dyDescent="0.2">
      <c r="A388" s="95">
        <v>38898</v>
      </c>
      <c r="B388" s="91">
        <v>-184624</v>
      </c>
      <c r="C388" s="91">
        <v>7157.09</v>
      </c>
      <c r="D388" s="91">
        <v>0</v>
      </c>
      <c r="E388" s="121">
        <f>B388-C388+D388</f>
        <v>-191781.09</v>
      </c>
      <c r="F388" s="91">
        <v>0</v>
      </c>
      <c r="G388" s="121">
        <f>E388-F388</f>
        <v>-191781.09</v>
      </c>
      <c r="H388" s="91">
        <v>1955822.1</v>
      </c>
      <c r="I388" s="91"/>
      <c r="J388" s="91">
        <f t="shared" si="46"/>
        <v>-38546.239999999998</v>
      </c>
      <c r="K388" s="114">
        <v>-37641.24</v>
      </c>
      <c r="L388" s="122"/>
      <c r="M388" s="123">
        <v>-905</v>
      </c>
      <c r="N388" s="124"/>
      <c r="O388" s="124"/>
      <c r="P388" s="125">
        <v>0</v>
      </c>
      <c r="Q388" s="103">
        <f t="shared" si="47"/>
        <v>0</v>
      </c>
      <c r="R388" s="125">
        <v>-6979.38</v>
      </c>
      <c r="S388" s="126">
        <f t="shared" si="50"/>
        <v>3.6392430557152432E-2</v>
      </c>
      <c r="T388" s="125">
        <v>200040.56</v>
      </c>
      <c r="U388" s="126">
        <f t="shared" si="51"/>
        <v>-1.0430671762268116</v>
      </c>
      <c r="V388" s="125">
        <v>0</v>
      </c>
      <c r="W388" s="126">
        <f t="shared" si="52"/>
        <v>0</v>
      </c>
      <c r="X388" s="127"/>
      <c r="Y388" s="128"/>
      <c r="Z388" s="91">
        <f t="shared" si="48"/>
        <v>-2302118.13</v>
      </c>
      <c r="AA388" s="92">
        <v>-2302117.13</v>
      </c>
      <c r="AB388" s="92">
        <f t="shared" si="45"/>
        <v>-1</v>
      </c>
    </row>
    <row r="389" spans="1:28" x14ac:dyDescent="0.2">
      <c r="A389" s="95">
        <v>38990</v>
      </c>
      <c r="B389" s="91">
        <v>-111435</v>
      </c>
      <c r="C389" s="91">
        <v>-89946.83</v>
      </c>
      <c r="D389" s="91">
        <v>0</v>
      </c>
      <c r="E389" s="121">
        <f>B389-C389+D389</f>
        <v>-21488.17</v>
      </c>
      <c r="F389" s="91">
        <v>0</v>
      </c>
      <c r="G389" s="121">
        <f>E389-F389</f>
        <v>-21488.17</v>
      </c>
      <c r="H389" s="91">
        <v>1152890.29</v>
      </c>
      <c r="I389" s="91"/>
      <c r="J389" s="91">
        <f t="shared" si="46"/>
        <v>-25298.52</v>
      </c>
      <c r="K389" s="114">
        <v>-24691.52</v>
      </c>
      <c r="L389" s="122"/>
      <c r="M389" s="123">
        <v>-607</v>
      </c>
      <c r="N389" s="124"/>
      <c r="O389" s="124"/>
      <c r="P389" s="125">
        <v>0</v>
      </c>
      <c r="Q389" s="103">
        <f t="shared" si="47"/>
        <v>0</v>
      </c>
      <c r="R389" s="125">
        <v>-2089.11</v>
      </c>
      <c r="S389" s="126">
        <f t="shared" si="50"/>
        <v>9.7221401357118833E-2</v>
      </c>
      <c r="T389" s="125">
        <v>177449.4</v>
      </c>
      <c r="U389" s="126">
        <f t="shared" si="51"/>
        <v>-8.2580042879407607</v>
      </c>
      <c r="V389" s="125">
        <v>0</v>
      </c>
      <c r="W389" s="126">
        <f t="shared" si="52"/>
        <v>0</v>
      </c>
      <c r="X389" s="127"/>
      <c r="Y389" s="128"/>
      <c r="Z389" s="91">
        <f t="shared" si="48"/>
        <v>-1324440.2299999997</v>
      </c>
      <c r="AA389" s="92">
        <v>-1324440.23</v>
      </c>
      <c r="AB389" s="92">
        <f t="shared" si="45"/>
        <v>0</v>
      </c>
    </row>
    <row r="390" spans="1:28" x14ac:dyDescent="0.2">
      <c r="A390" s="95">
        <v>39082</v>
      </c>
      <c r="B390" s="91">
        <v>-29552</v>
      </c>
      <c r="C390" s="91">
        <v>-52414.59</v>
      </c>
      <c r="D390" s="91"/>
      <c r="E390" s="121"/>
      <c r="F390" s="91"/>
      <c r="G390" s="121">
        <f t="shared" ref="G390:G417" si="53">B390-C390</f>
        <v>22862.589999999997</v>
      </c>
      <c r="H390" s="91">
        <v>1486360.78</v>
      </c>
      <c r="I390" s="91"/>
      <c r="J390" s="91">
        <f t="shared" si="46"/>
        <v>-6923.84</v>
      </c>
      <c r="K390" s="114">
        <v>-6303.84</v>
      </c>
      <c r="L390" s="122"/>
      <c r="M390" s="123">
        <v>-620</v>
      </c>
      <c r="N390" s="124"/>
      <c r="O390" s="124"/>
      <c r="P390" s="125">
        <v>1706.9</v>
      </c>
      <c r="Q390" s="103">
        <f t="shared" si="47"/>
        <v>7.4659082807328497E-2</v>
      </c>
      <c r="R390" s="125">
        <v>2112.16</v>
      </c>
      <c r="S390" s="126">
        <f t="shared" si="50"/>
        <v>9.2384983503618803E-2</v>
      </c>
      <c r="T390" s="125">
        <v>113613.27</v>
      </c>
      <c r="U390" s="126">
        <f t="shared" si="51"/>
        <v>4.9693962932458664</v>
      </c>
      <c r="V390" s="125">
        <v>0</v>
      </c>
      <c r="W390" s="126">
        <f t="shared" si="52"/>
        <v>0</v>
      </c>
      <c r="X390" s="127"/>
      <c r="Y390" s="128"/>
      <c r="Z390" s="91">
        <f t="shared" si="48"/>
        <v>-1574006.6799999997</v>
      </c>
      <c r="AA390" s="92">
        <v>-1574006.68</v>
      </c>
      <c r="AB390" s="92">
        <f t="shared" si="45"/>
        <v>0</v>
      </c>
    </row>
    <row r="391" spans="1:28" x14ac:dyDescent="0.2">
      <c r="A391" s="95">
        <v>39172</v>
      </c>
      <c r="B391" s="91">
        <v>6327</v>
      </c>
      <c r="C391" s="91">
        <v>817.48</v>
      </c>
      <c r="D391" s="91"/>
      <c r="E391" s="121"/>
      <c r="F391" s="91"/>
      <c r="G391" s="121">
        <f t="shared" si="53"/>
        <v>5509.52</v>
      </c>
      <c r="H391" s="91">
        <v>828423.38</v>
      </c>
      <c r="I391" s="91"/>
      <c r="J391" s="91">
        <f t="shared" si="46"/>
        <v>1417.7</v>
      </c>
      <c r="K391" s="114">
        <v>1520.7</v>
      </c>
      <c r="L391" s="122"/>
      <c r="M391" s="123">
        <v>-103</v>
      </c>
      <c r="N391" s="124"/>
      <c r="O391" s="124"/>
      <c r="P391" s="125">
        <v>0</v>
      </c>
      <c r="Q391" s="103">
        <f t="shared" si="47"/>
        <v>0</v>
      </c>
      <c r="R391" s="125">
        <v>-322.95999999999998</v>
      </c>
      <c r="S391" s="126">
        <f t="shared" si="50"/>
        <v>-5.8618536642030511E-2</v>
      </c>
      <c r="T391" s="125">
        <v>109204.13</v>
      </c>
      <c r="U391" s="126">
        <f t="shared" si="51"/>
        <v>19.82098803525534</v>
      </c>
      <c r="V391" s="125">
        <v>0</v>
      </c>
      <c r="W391" s="126">
        <f t="shared" si="52"/>
        <v>0</v>
      </c>
      <c r="X391" s="127"/>
      <c r="Y391" s="128"/>
      <c r="Z391" s="91">
        <f t="shared" si="48"/>
        <v>-933212.73</v>
      </c>
      <c r="AA391" s="92">
        <v>-933212.73</v>
      </c>
      <c r="AB391" s="92">
        <f t="shared" si="45"/>
        <v>0</v>
      </c>
    </row>
    <row r="392" spans="1:28" x14ac:dyDescent="0.2">
      <c r="A392" s="95">
        <v>39263</v>
      </c>
      <c r="B392" s="91">
        <v>3358</v>
      </c>
      <c r="C392" s="91">
        <v>-85232.44</v>
      </c>
      <c r="D392" s="91"/>
      <c r="E392" s="121"/>
      <c r="F392" s="91"/>
      <c r="G392" s="121">
        <f t="shared" si="53"/>
        <v>88590.44</v>
      </c>
      <c r="H392" s="91">
        <v>708772.22</v>
      </c>
      <c r="I392" s="91"/>
      <c r="J392" s="91">
        <f t="shared" si="46"/>
        <v>310.34000000000003</v>
      </c>
      <c r="K392" s="114">
        <v>879.34</v>
      </c>
      <c r="L392" s="122"/>
      <c r="M392" s="123">
        <v>-569</v>
      </c>
      <c r="N392" s="124"/>
      <c r="O392" s="124"/>
      <c r="P392" s="125">
        <v>814.25</v>
      </c>
      <c r="Q392" s="103">
        <f t="shared" si="47"/>
        <v>9.1911723206251142E-3</v>
      </c>
      <c r="R392" s="125">
        <v>1987.25</v>
      </c>
      <c r="S392" s="126">
        <f t="shared" si="50"/>
        <v>2.2431878654175327E-2</v>
      </c>
      <c r="T392" s="125">
        <v>91387.42</v>
      </c>
      <c r="U392" s="126">
        <f t="shared" si="51"/>
        <v>1.0315720296682125</v>
      </c>
      <c r="V392" s="125">
        <v>0</v>
      </c>
      <c r="W392" s="126">
        <f t="shared" si="52"/>
        <v>0</v>
      </c>
      <c r="X392" s="127"/>
      <c r="Y392" s="128"/>
      <c r="Z392" s="91">
        <f t="shared" si="48"/>
        <v>-714681.04</v>
      </c>
      <c r="AA392" s="92">
        <v>-714681.04</v>
      </c>
      <c r="AB392" s="92">
        <f t="shared" si="45"/>
        <v>0</v>
      </c>
    </row>
    <row r="393" spans="1:28" x14ac:dyDescent="0.2">
      <c r="A393" s="95">
        <v>39355</v>
      </c>
      <c r="B393" s="91">
        <v>-110652</v>
      </c>
      <c r="C393" s="91">
        <v>-52060.41</v>
      </c>
      <c r="D393" s="91">
        <v>0</v>
      </c>
      <c r="E393" s="121">
        <f t="shared" ref="E393:E417" si="54">B393-C393+D393</f>
        <v>-58591.59</v>
      </c>
      <c r="F393" s="91">
        <v>0</v>
      </c>
      <c r="G393" s="121">
        <f t="shared" si="53"/>
        <v>-58591.59</v>
      </c>
      <c r="H393" s="91">
        <v>566118.56999999995</v>
      </c>
      <c r="I393" s="91"/>
      <c r="J393" s="91">
        <f t="shared" si="46"/>
        <v>-26731.9</v>
      </c>
      <c r="K393" s="114">
        <v>-26505.9</v>
      </c>
      <c r="L393" s="122"/>
      <c r="M393" s="123">
        <v>-226</v>
      </c>
      <c r="N393" s="124"/>
      <c r="O393" s="124"/>
      <c r="P393" s="125">
        <v>283.7</v>
      </c>
      <c r="Q393" s="103">
        <f t="shared" si="47"/>
        <v>-4.8419918285201001E-3</v>
      </c>
      <c r="R393" s="125">
        <v>116.99</v>
      </c>
      <c r="S393" s="126">
        <f t="shared" si="50"/>
        <v>-1.9967029397905058E-3</v>
      </c>
      <c r="T393" s="125">
        <v>106382.2</v>
      </c>
      <c r="U393" s="126">
        <f t="shared" si="51"/>
        <v>-1.8156564790271095</v>
      </c>
      <c r="V393" s="125">
        <v>0</v>
      </c>
      <c r="W393" s="126">
        <f t="shared" si="52"/>
        <v>0</v>
      </c>
      <c r="X393" s="127"/>
      <c r="Y393" s="128"/>
      <c r="Z393" s="91">
        <f t="shared" si="48"/>
        <v>-704761.14999999979</v>
      </c>
      <c r="AA393" s="92">
        <v>-704761.15</v>
      </c>
      <c r="AB393" s="92">
        <f t="shared" si="45"/>
        <v>0</v>
      </c>
    </row>
    <row r="394" spans="1:28" x14ac:dyDescent="0.2">
      <c r="A394" s="95">
        <v>39447</v>
      </c>
      <c r="B394" s="91">
        <v>192454</v>
      </c>
      <c r="C394" s="91">
        <v>-22373.33</v>
      </c>
      <c r="D394" s="91">
        <v>0</v>
      </c>
      <c r="E394" s="121">
        <f t="shared" si="54"/>
        <v>214827.33000000002</v>
      </c>
      <c r="F394" s="91">
        <v>0</v>
      </c>
      <c r="G394" s="121">
        <f t="shared" si="53"/>
        <v>214827.33000000002</v>
      </c>
      <c r="H394" s="91">
        <v>400419.63</v>
      </c>
      <c r="I394" s="91"/>
      <c r="J394" s="91">
        <f t="shared" si="46"/>
        <v>38852.910000000003</v>
      </c>
      <c r="K394" s="114">
        <v>38720.910000000003</v>
      </c>
      <c r="L394" s="122"/>
      <c r="M394" s="123">
        <v>132</v>
      </c>
      <c r="N394" s="124"/>
      <c r="O394" s="124"/>
      <c r="P394" s="125">
        <v>461.72</v>
      </c>
      <c r="Q394" s="103"/>
      <c r="R394" s="125">
        <v>6505.47</v>
      </c>
      <c r="S394" s="126"/>
      <c r="T394" s="125">
        <v>58049.96</v>
      </c>
      <c r="U394" s="126"/>
      <c r="V394" s="125">
        <v>0</v>
      </c>
      <c r="W394" s="126"/>
      <c r="X394" s="127"/>
      <c r="Y394" s="128"/>
      <c r="Z394" s="91">
        <f t="shared" si="48"/>
        <v>-289462.36</v>
      </c>
      <c r="AA394" s="92">
        <v>-289462.36</v>
      </c>
      <c r="AB394" s="92">
        <f t="shared" si="45"/>
        <v>0</v>
      </c>
    </row>
    <row r="395" spans="1:28" x14ac:dyDescent="0.2">
      <c r="A395" s="95">
        <v>39538</v>
      </c>
      <c r="B395" s="91">
        <v>-4013</v>
      </c>
      <c r="C395" s="91">
        <v>-23845.49</v>
      </c>
      <c r="D395" s="91">
        <v>0</v>
      </c>
      <c r="E395" s="121">
        <f t="shared" si="54"/>
        <v>19832.490000000002</v>
      </c>
      <c r="F395" s="91">
        <v>0</v>
      </c>
      <c r="G395" s="121">
        <f t="shared" si="53"/>
        <v>19832.490000000002</v>
      </c>
      <c r="H395" s="91">
        <v>145020.74</v>
      </c>
      <c r="I395" s="91"/>
      <c r="J395" s="91">
        <f t="shared" si="46"/>
        <v>-872.74</v>
      </c>
      <c r="K395" s="114">
        <v>-580.74</v>
      </c>
      <c r="L395" s="122"/>
      <c r="M395" s="123">
        <v>-292</v>
      </c>
      <c r="N395" s="124"/>
      <c r="O395" s="124"/>
      <c r="P395" s="125">
        <v>348.87</v>
      </c>
      <c r="Q395" s="103"/>
      <c r="R395" s="125">
        <v>817.22</v>
      </c>
      <c r="S395" s="126"/>
      <c r="T395" s="125">
        <v>67408.47</v>
      </c>
      <c r="U395" s="126"/>
      <c r="V395" s="125">
        <v>0</v>
      </c>
      <c r="W395" s="126"/>
      <c r="X395" s="127"/>
      <c r="Y395" s="128"/>
      <c r="Z395" s="91">
        <f t="shared" si="48"/>
        <v>-192890.06999999998</v>
      </c>
      <c r="AA395" s="92">
        <v>-192890.07</v>
      </c>
      <c r="AB395" s="92">
        <f t="shared" si="45"/>
        <v>0</v>
      </c>
    </row>
    <row r="396" spans="1:28" x14ac:dyDescent="0.2">
      <c r="A396" s="95">
        <v>39629</v>
      </c>
      <c r="B396" s="91">
        <v>24006</v>
      </c>
      <c r="C396" s="91">
        <v>2284.23</v>
      </c>
      <c r="D396" s="91">
        <v>0</v>
      </c>
      <c r="E396" s="121">
        <f t="shared" si="54"/>
        <v>21721.77</v>
      </c>
      <c r="F396" s="91">
        <v>0</v>
      </c>
      <c r="G396" s="121">
        <f t="shared" si="53"/>
        <v>21721.77</v>
      </c>
      <c r="H396" s="91">
        <v>484414.16</v>
      </c>
      <c r="I396" s="91"/>
      <c r="J396" s="91">
        <f t="shared" si="46"/>
        <v>5330.54</v>
      </c>
      <c r="K396" s="114">
        <f>481.95+-30.86+4878.45</f>
        <v>5329.54</v>
      </c>
      <c r="L396" s="122"/>
      <c r="M396" s="123">
        <f>-121+122</f>
        <v>1</v>
      </c>
      <c r="N396" s="124"/>
      <c r="O396" s="124"/>
      <c r="P396" s="125">
        <v>778.17</v>
      </c>
      <c r="Q396" s="103"/>
      <c r="R396" s="125">
        <v>6059.17</v>
      </c>
      <c r="S396" s="126"/>
      <c r="T396" s="125">
        <v>78176.75</v>
      </c>
      <c r="U396" s="126"/>
      <c r="V396" s="125">
        <v>0</v>
      </c>
      <c r="W396" s="126"/>
      <c r="X396" s="127"/>
      <c r="Y396" s="128"/>
      <c r="Z396" s="91">
        <f t="shared" si="48"/>
        <v>-553037.0199999999</v>
      </c>
      <c r="AA396" s="92">
        <v>-553037.02</v>
      </c>
      <c r="AB396" s="92">
        <f t="shared" si="45"/>
        <v>0</v>
      </c>
    </row>
    <row r="397" spans="1:28" x14ac:dyDescent="0.2">
      <c r="A397" s="95">
        <v>39721</v>
      </c>
      <c r="B397" s="91">
        <v>4400</v>
      </c>
      <c r="C397" s="91">
        <v>35054.019999999997</v>
      </c>
      <c r="D397" s="91">
        <v>0</v>
      </c>
      <c r="E397" s="121">
        <f t="shared" si="54"/>
        <v>-30654.019999999997</v>
      </c>
      <c r="F397" s="91">
        <v>0</v>
      </c>
      <c r="G397" s="121">
        <f t="shared" si="53"/>
        <v>-30654.019999999997</v>
      </c>
      <c r="H397" s="91">
        <v>37181.97</v>
      </c>
      <c r="I397" s="91"/>
      <c r="J397" s="91">
        <v>969.01</v>
      </c>
      <c r="K397" s="114">
        <v>979.01</v>
      </c>
      <c r="L397" s="122"/>
      <c r="M397" s="123">
        <v>-10</v>
      </c>
      <c r="N397" s="124"/>
      <c r="O397" s="124"/>
      <c r="P397" s="125">
        <v>102.27</v>
      </c>
      <c r="Q397" s="103"/>
      <c r="R397" s="125">
        <v>-485.79</v>
      </c>
      <c r="S397" s="126"/>
      <c r="T397" s="125">
        <v>39286.75</v>
      </c>
      <c r="U397" s="126"/>
      <c r="V397" s="125">
        <v>0</v>
      </c>
      <c r="W397" s="126"/>
      <c r="X397" s="127"/>
      <c r="Y397" s="128"/>
      <c r="Z397" s="91">
        <f t="shared" si="48"/>
        <v>-107708.23</v>
      </c>
      <c r="AA397" s="92">
        <v>-107708.23</v>
      </c>
      <c r="AB397" s="92">
        <f t="shared" si="45"/>
        <v>0</v>
      </c>
    </row>
    <row r="398" spans="1:28" x14ac:dyDescent="0.2">
      <c r="A398" s="95">
        <v>39813</v>
      </c>
      <c r="B398" s="91">
        <v>-17303</v>
      </c>
      <c r="C398" s="91">
        <v>-15383.5</v>
      </c>
      <c r="D398" s="91">
        <v>0</v>
      </c>
      <c r="E398" s="121">
        <f t="shared" si="54"/>
        <v>-1919.5</v>
      </c>
      <c r="F398" s="91">
        <v>0</v>
      </c>
      <c r="G398" s="121">
        <f t="shared" si="53"/>
        <v>-1919.5</v>
      </c>
      <c r="H398" s="91">
        <v>550061.18999999994</v>
      </c>
      <c r="I398" s="91"/>
      <c r="J398" s="91">
        <v>-3939.53</v>
      </c>
      <c r="K398" s="114">
        <v>-3785.53</v>
      </c>
      <c r="L398" s="122"/>
      <c r="M398" s="123">
        <v>-154</v>
      </c>
      <c r="N398" s="124"/>
      <c r="O398" s="124"/>
      <c r="P398" s="125">
        <v>261.82</v>
      </c>
      <c r="Q398" s="103"/>
      <c r="R398" s="125">
        <v>-213.13</v>
      </c>
      <c r="S398" s="126"/>
      <c r="T398" s="125">
        <v>47368.34</v>
      </c>
      <c r="U398" s="126"/>
      <c r="V398" s="125">
        <v>0</v>
      </c>
      <c r="W398" s="126"/>
      <c r="X398" s="127"/>
      <c r="Y398" s="128"/>
      <c r="Z398" s="91">
        <f t="shared" si="48"/>
        <v>-595458.18999999983</v>
      </c>
      <c r="AA398" s="92">
        <v>-595458.18999999994</v>
      </c>
      <c r="AB398" s="92">
        <f t="shared" si="45"/>
        <v>0</v>
      </c>
    </row>
    <row r="399" spans="1:28" x14ac:dyDescent="0.2">
      <c r="A399" s="95">
        <v>39903</v>
      </c>
      <c r="B399" s="91">
        <v>-913</v>
      </c>
      <c r="C399" s="91">
        <v>1648.51</v>
      </c>
      <c r="D399" s="91">
        <v>0</v>
      </c>
      <c r="E399" s="121">
        <f t="shared" si="54"/>
        <v>-2561.5100000000002</v>
      </c>
      <c r="F399" s="91">
        <v>0</v>
      </c>
      <c r="G399" s="121">
        <f t="shared" si="53"/>
        <v>-2561.5100000000002</v>
      </c>
      <c r="H399" s="91">
        <v>69073.820000000007</v>
      </c>
      <c r="I399" s="91"/>
      <c r="J399" s="91">
        <v>-306.60000000000002</v>
      </c>
      <c r="K399" s="114">
        <v>-173.6</v>
      </c>
      <c r="L399" s="122"/>
      <c r="M399" s="123">
        <v>-133</v>
      </c>
      <c r="N399" s="124"/>
      <c r="O399" s="124"/>
      <c r="P399" s="125">
        <v>63.55</v>
      </c>
      <c r="Q399" s="103"/>
      <c r="R399" s="125">
        <v>-196.65</v>
      </c>
      <c r="S399" s="126"/>
      <c r="T399" s="125">
        <v>25519.57</v>
      </c>
      <c r="U399" s="126"/>
      <c r="V399" s="125">
        <v>0</v>
      </c>
      <c r="W399" s="126"/>
      <c r="X399" s="127"/>
      <c r="Y399" s="128"/>
      <c r="Z399" s="91">
        <f t="shared" si="48"/>
        <v>-96715.200000000012</v>
      </c>
      <c r="AA399" s="92">
        <v>-96715.199999999997</v>
      </c>
      <c r="AB399" s="92">
        <f t="shared" si="45"/>
        <v>0</v>
      </c>
    </row>
    <row r="400" spans="1:28" x14ac:dyDescent="0.2">
      <c r="A400" s="95">
        <v>39994</v>
      </c>
      <c r="B400" s="91">
        <v>-1536</v>
      </c>
      <c r="C400" s="91">
        <v>-7952.94</v>
      </c>
      <c r="D400" s="91">
        <v>0</v>
      </c>
      <c r="E400" s="121">
        <f t="shared" si="54"/>
        <v>6416.94</v>
      </c>
      <c r="F400" s="91">
        <v>0</v>
      </c>
      <c r="G400" s="121">
        <f t="shared" si="53"/>
        <v>6416.94</v>
      </c>
      <c r="H400" s="91">
        <v>589700.68999999994</v>
      </c>
      <c r="I400" s="91"/>
      <c r="J400" s="91">
        <v>-334.77</v>
      </c>
      <c r="K400" s="114">
        <v>-342.77</v>
      </c>
      <c r="L400" s="122"/>
      <c r="M400" s="123">
        <v>8</v>
      </c>
      <c r="N400" s="124"/>
      <c r="O400" s="124"/>
      <c r="P400" s="125">
        <v>134.49</v>
      </c>
      <c r="Q400" s="103"/>
      <c r="R400" s="125">
        <v>154.25</v>
      </c>
      <c r="S400" s="126"/>
      <c r="T400" s="125">
        <v>33867.599999999999</v>
      </c>
      <c r="U400" s="126"/>
      <c r="V400" s="125">
        <v>0</v>
      </c>
      <c r="W400" s="126"/>
      <c r="X400" s="127"/>
      <c r="Y400" s="128"/>
      <c r="Z400" s="91">
        <f t="shared" si="48"/>
        <v>-617105.31999999995</v>
      </c>
      <c r="AA400" s="92">
        <v>-617105.31999999995</v>
      </c>
      <c r="AB400" s="92">
        <f t="shared" si="45"/>
        <v>0</v>
      </c>
    </row>
    <row r="401" spans="1:28" x14ac:dyDescent="0.2">
      <c r="A401" s="95">
        <v>40086</v>
      </c>
      <c r="B401" s="91">
        <v>-6295</v>
      </c>
      <c r="C401" s="91">
        <v>10674.9</v>
      </c>
      <c r="D401" s="91">
        <v>0</v>
      </c>
      <c r="E401" s="121">
        <f t="shared" si="54"/>
        <v>-16969.900000000001</v>
      </c>
      <c r="F401" s="91">
        <v>0</v>
      </c>
      <c r="G401" s="121">
        <f t="shared" si="53"/>
        <v>-16969.900000000001</v>
      </c>
      <c r="H401" s="91">
        <v>71333.56</v>
      </c>
      <c r="I401" s="91"/>
      <c r="J401" s="91">
        <v>-1492.4</v>
      </c>
      <c r="K401" s="114">
        <v>-1370.4</v>
      </c>
      <c r="L401" s="122"/>
      <c r="M401" s="123">
        <v>-122</v>
      </c>
      <c r="N401" s="124"/>
      <c r="O401" s="124"/>
      <c r="P401" s="125">
        <v>27.16</v>
      </c>
      <c r="Q401" s="103"/>
      <c r="R401" s="125">
        <v>-596.28</v>
      </c>
      <c r="S401" s="126"/>
      <c r="T401" s="125">
        <v>33375.800000000003</v>
      </c>
      <c r="U401" s="126"/>
      <c r="V401" s="125">
        <v>0</v>
      </c>
      <c r="W401" s="126"/>
      <c r="X401" s="127"/>
      <c r="Y401" s="128"/>
      <c r="Z401" s="91">
        <f t="shared" si="48"/>
        <v>-119617.74</v>
      </c>
      <c r="AA401" s="92">
        <v>-119617.74</v>
      </c>
      <c r="AB401" s="92">
        <f t="shared" si="45"/>
        <v>0</v>
      </c>
    </row>
    <row r="402" spans="1:28" x14ac:dyDescent="0.2">
      <c r="A402" s="95">
        <v>40178</v>
      </c>
      <c r="B402" s="91">
        <v>349174</v>
      </c>
      <c r="C402" s="91">
        <v>348791.4</v>
      </c>
      <c r="D402" s="91">
        <v>0</v>
      </c>
      <c r="E402" s="121">
        <f t="shared" si="54"/>
        <v>382.59999999997672</v>
      </c>
      <c r="F402" s="91">
        <v>0</v>
      </c>
      <c r="G402" s="121">
        <f t="shared" si="53"/>
        <v>382.59999999997672</v>
      </c>
      <c r="H402" s="91">
        <v>112431.82</v>
      </c>
      <c r="I402" s="91"/>
      <c r="J402" s="91">
        <v>77516.63</v>
      </c>
      <c r="K402" s="114">
        <v>77516.63</v>
      </c>
      <c r="L402" s="122"/>
      <c r="M402" s="123">
        <v>0</v>
      </c>
      <c r="N402" s="124"/>
      <c r="O402" s="124"/>
      <c r="P402" s="125">
        <v>1.64</v>
      </c>
      <c r="Q402" s="103"/>
      <c r="R402" s="125">
        <v>15318.58</v>
      </c>
      <c r="S402" s="126"/>
      <c r="T402" s="125">
        <v>27008.91</v>
      </c>
      <c r="U402" s="126"/>
      <c r="V402" s="125">
        <v>0</v>
      </c>
      <c r="W402" s="126"/>
      <c r="X402" s="127"/>
      <c r="Y402" s="128"/>
      <c r="Z402" s="91">
        <f t="shared" si="48"/>
        <v>-231894.98000000004</v>
      </c>
      <c r="AA402" s="92">
        <v>-231894.98</v>
      </c>
      <c r="AB402" s="92">
        <f t="shared" si="45"/>
        <v>0</v>
      </c>
    </row>
    <row r="403" spans="1:28" x14ac:dyDescent="0.2">
      <c r="A403" s="140">
        <v>40268</v>
      </c>
      <c r="B403" s="91">
        <v>-52478</v>
      </c>
      <c r="C403" s="91">
        <v>922.13</v>
      </c>
      <c r="D403" s="91">
        <v>0</v>
      </c>
      <c r="E403" s="121">
        <f t="shared" si="54"/>
        <v>-53400.13</v>
      </c>
      <c r="F403" s="91">
        <v>0</v>
      </c>
      <c r="G403" s="121">
        <f t="shared" si="53"/>
        <v>-53400.13</v>
      </c>
      <c r="H403" s="91">
        <v>150792.78</v>
      </c>
      <c r="I403" s="91"/>
      <c r="J403" s="91">
        <v>-11745.03</v>
      </c>
      <c r="K403" s="114">
        <v>-11745.03</v>
      </c>
      <c r="L403" s="122"/>
      <c r="M403" s="123">
        <v>0</v>
      </c>
      <c r="N403" s="124"/>
      <c r="O403" s="124"/>
      <c r="P403" s="125">
        <v>32.31</v>
      </c>
      <c r="Q403" s="103"/>
      <c r="R403" s="125">
        <v>-13799.04</v>
      </c>
      <c r="S403" s="126"/>
      <c r="T403" s="125">
        <v>49825.16</v>
      </c>
      <c r="U403" s="126"/>
      <c r="V403" s="125">
        <v>0</v>
      </c>
      <c r="W403" s="126"/>
      <c r="X403" s="127"/>
      <c r="Y403" s="128"/>
      <c r="Z403" s="91">
        <f t="shared" si="48"/>
        <v>-228506.31</v>
      </c>
      <c r="AA403" s="92">
        <v>-228506.31</v>
      </c>
      <c r="AB403" s="92">
        <f t="shared" si="45"/>
        <v>0</v>
      </c>
    </row>
    <row r="404" spans="1:28" x14ac:dyDescent="0.2">
      <c r="A404" s="95">
        <v>40359</v>
      </c>
      <c r="B404" s="91">
        <v>-352</v>
      </c>
      <c r="C404" s="91">
        <v>-57241.8</v>
      </c>
      <c r="D404" s="91">
        <v>0</v>
      </c>
      <c r="E404" s="121">
        <f t="shared" si="54"/>
        <v>56889.8</v>
      </c>
      <c r="F404" s="91">
        <v>0</v>
      </c>
      <c r="G404" s="121">
        <f t="shared" si="53"/>
        <v>56889.8</v>
      </c>
      <c r="H404" s="91">
        <v>387800.6</v>
      </c>
      <c r="I404" s="91"/>
      <c r="J404" s="91">
        <v>-78.14</v>
      </c>
      <c r="K404" s="114">
        <v>-78.14</v>
      </c>
      <c r="L404" s="122"/>
      <c r="M404" s="123">
        <v>0</v>
      </c>
      <c r="N404" s="124"/>
      <c r="O404" s="124"/>
      <c r="P404" s="125">
        <v>-0.04</v>
      </c>
      <c r="Q404" s="103"/>
      <c r="R404" s="125">
        <v>303.86</v>
      </c>
      <c r="S404" s="126"/>
      <c r="T404" s="125">
        <v>26762.99</v>
      </c>
      <c r="U404" s="126"/>
      <c r="V404" s="125">
        <v>0</v>
      </c>
      <c r="W404" s="126"/>
      <c r="X404" s="127"/>
      <c r="Y404" s="128"/>
      <c r="Z404" s="91">
        <f t="shared" si="48"/>
        <v>-357899.47</v>
      </c>
      <c r="AA404" s="92">
        <v>-357899.47</v>
      </c>
      <c r="AB404" s="92">
        <f t="shared" si="45"/>
        <v>0</v>
      </c>
    </row>
    <row r="405" spans="1:28" x14ac:dyDescent="0.2">
      <c r="A405" s="140">
        <v>40451</v>
      </c>
      <c r="B405" s="91">
        <v>229</v>
      </c>
      <c r="C405" s="91">
        <v>-1466</v>
      </c>
      <c r="D405" s="91">
        <v>0</v>
      </c>
      <c r="E405" s="121">
        <f t="shared" si="54"/>
        <v>1695</v>
      </c>
      <c r="F405" s="91">
        <v>0</v>
      </c>
      <c r="G405" s="121">
        <f t="shared" si="53"/>
        <v>1695</v>
      </c>
      <c r="H405" s="91">
        <v>183915.72</v>
      </c>
      <c r="I405" s="91"/>
      <c r="J405" s="91">
        <v>145.75</v>
      </c>
      <c r="K405" s="114">
        <v>23.75</v>
      </c>
      <c r="L405" s="122"/>
      <c r="M405" s="123">
        <v>122</v>
      </c>
      <c r="N405" s="124"/>
      <c r="O405" s="124">
        <v>0</v>
      </c>
      <c r="P405" s="125">
        <v>-1.5</v>
      </c>
      <c r="Q405" s="103"/>
      <c r="R405" s="125">
        <v>263.60000000000002</v>
      </c>
      <c r="S405" s="126"/>
      <c r="T405" s="125">
        <v>15712.14</v>
      </c>
      <c r="U405" s="126"/>
      <c r="V405" s="125">
        <v>0</v>
      </c>
      <c r="W405" s="126"/>
      <c r="X405" s="127"/>
      <c r="Y405" s="128"/>
      <c r="Z405" s="91">
        <f t="shared" si="48"/>
        <v>-198340.71000000002</v>
      </c>
      <c r="AA405" s="92">
        <v>-198340.71</v>
      </c>
      <c r="AB405" s="92">
        <f t="shared" si="45"/>
        <v>0</v>
      </c>
    </row>
    <row r="406" spans="1:28" x14ac:dyDescent="0.2">
      <c r="A406" s="140">
        <v>40543</v>
      </c>
      <c r="B406" s="91">
        <v>0</v>
      </c>
      <c r="C406" s="91">
        <v>-1476.83</v>
      </c>
      <c r="D406" s="91">
        <v>0</v>
      </c>
      <c r="E406" s="121">
        <f t="shared" si="54"/>
        <v>1476.83</v>
      </c>
      <c r="F406" s="91">
        <v>0</v>
      </c>
      <c r="G406" s="121">
        <f t="shared" si="53"/>
        <v>1476.83</v>
      </c>
      <c r="H406" s="91">
        <v>418232.15</v>
      </c>
      <c r="I406" s="91"/>
      <c r="J406" s="91">
        <v>0</v>
      </c>
      <c r="K406" s="114">
        <v>0</v>
      </c>
      <c r="L406" s="122"/>
      <c r="M406" s="123">
        <v>0</v>
      </c>
      <c r="N406" s="124"/>
      <c r="O406" s="124">
        <v>0</v>
      </c>
      <c r="P406" s="125">
        <v>16.48</v>
      </c>
      <c r="Q406" s="103"/>
      <c r="R406" s="125">
        <v>667.35</v>
      </c>
      <c r="S406" s="126"/>
      <c r="T406" s="125">
        <v>16069.38</v>
      </c>
      <c r="U406" s="126"/>
      <c r="V406" s="125">
        <v>0</v>
      </c>
      <c r="W406" s="126"/>
      <c r="X406" s="127"/>
      <c r="Y406" s="128"/>
      <c r="Z406" s="91">
        <f t="shared" si="48"/>
        <v>-433508.52999999997</v>
      </c>
      <c r="AA406" s="92">
        <v>-433508.53</v>
      </c>
      <c r="AB406" s="92">
        <f t="shared" si="45"/>
        <v>0</v>
      </c>
    </row>
    <row r="407" spans="1:28" x14ac:dyDescent="0.2">
      <c r="A407" s="288">
        <v>40633</v>
      </c>
      <c r="B407" s="91">
        <v>0</v>
      </c>
      <c r="C407" s="91">
        <v>-2050.4</v>
      </c>
      <c r="D407" s="91">
        <v>0</v>
      </c>
      <c r="E407" s="121">
        <f t="shared" si="54"/>
        <v>2050.4</v>
      </c>
      <c r="F407" s="91">
        <v>0</v>
      </c>
      <c r="G407" s="121">
        <f t="shared" si="53"/>
        <v>2050.4</v>
      </c>
      <c r="H407" s="91">
        <v>45655.8</v>
      </c>
      <c r="I407" s="91"/>
      <c r="J407" s="91">
        <v>0</v>
      </c>
      <c r="K407" s="114">
        <v>0</v>
      </c>
      <c r="L407" s="122"/>
      <c r="M407" s="123">
        <v>0</v>
      </c>
      <c r="N407" s="124"/>
      <c r="O407" s="124">
        <v>0</v>
      </c>
      <c r="P407" s="125">
        <v>1.89</v>
      </c>
      <c r="Q407" s="103"/>
      <c r="R407" s="125">
        <v>334.16</v>
      </c>
      <c r="S407" s="126"/>
      <c r="T407" s="125">
        <v>21889.61</v>
      </c>
      <c r="U407" s="126"/>
      <c r="V407" s="125">
        <v>0</v>
      </c>
      <c r="W407" s="126"/>
      <c r="X407" s="127"/>
      <c r="Y407" s="128"/>
      <c r="Z407" s="91">
        <f t="shared" si="48"/>
        <v>-65831.06</v>
      </c>
      <c r="AA407" s="92">
        <v>-65831.06</v>
      </c>
      <c r="AB407" s="92">
        <f t="shared" si="45"/>
        <v>0</v>
      </c>
    </row>
    <row r="408" spans="1:28" x14ac:dyDescent="0.2">
      <c r="A408" s="288">
        <v>40724</v>
      </c>
      <c r="B408" s="91">
        <v>5581</v>
      </c>
      <c r="C408" s="91">
        <v>4694.3500000000004</v>
      </c>
      <c r="D408" s="91">
        <v>0</v>
      </c>
      <c r="E408" s="121">
        <f t="shared" si="54"/>
        <v>886.64999999999964</v>
      </c>
      <c r="F408" s="91">
        <v>0</v>
      </c>
      <c r="G408" s="121">
        <f t="shared" si="53"/>
        <v>886.64999999999964</v>
      </c>
      <c r="H408" s="91">
        <v>437085.7</v>
      </c>
      <c r="I408" s="91"/>
      <c r="J408" s="91">
        <v>1316.81</v>
      </c>
      <c r="K408" s="114">
        <v>1194.81</v>
      </c>
      <c r="L408" s="122"/>
      <c r="M408" s="123">
        <v>122</v>
      </c>
      <c r="N408" s="124"/>
      <c r="O408" s="124"/>
      <c r="P408" s="125">
        <v>7.18</v>
      </c>
      <c r="Q408" s="103"/>
      <c r="R408" s="125">
        <v>-76.55</v>
      </c>
      <c r="S408" s="126"/>
      <c r="T408" s="125">
        <v>14786.68</v>
      </c>
      <c r="U408" s="126"/>
      <c r="V408" s="125">
        <v>0</v>
      </c>
      <c r="W408" s="126"/>
      <c r="X408" s="127"/>
      <c r="Y408" s="128"/>
      <c r="Z408" s="91">
        <f t="shared" si="48"/>
        <v>-452233.17</v>
      </c>
      <c r="AA408" s="92">
        <v>-452233.17</v>
      </c>
      <c r="AB408" s="92">
        <f t="shared" si="45"/>
        <v>0</v>
      </c>
    </row>
    <row r="409" spans="1:28" x14ac:dyDescent="0.2">
      <c r="A409" s="288">
        <v>40816</v>
      </c>
      <c r="B409" s="91">
        <v>-2164</v>
      </c>
      <c r="C409" s="91">
        <v>-2346.84</v>
      </c>
      <c r="D409" s="91">
        <v>0</v>
      </c>
      <c r="E409" s="121">
        <f t="shared" si="54"/>
        <v>182.84000000000015</v>
      </c>
      <c r="F409" s="91">
        <v>0</v>
      </c>
      <c r="G409" s="121">
        <f t="shared" si="53"/>
        <v>182.84000000000015</v>
      </c>
      <c r="H409" s="91">
        <v>145287.49</v>
      </c>
      <c r="I409" s="91"/>
      <c r="J409" s="91">
        <v>-480.41</v>
      </c>
      <c r="K409" s="114">
        <v>-480.41</v>
      </c>
      <c r="L409" s="122"/>
      <c r="M409" s="123">
        <v>0</v>
      </c>
      <c r="N409" s="124"/>
      <c r="O409" s="124"/>
      <c r="P409" s="125">
        <v>7.41</v>
      </c>
      <c r="Q409" s="103"/>
      <c r="R409" s="125">
        <v>-16.559999999999999</v>
      </c>
      <c r="S409" s="126"/>
      <c r="T409" s="125">
        <v>18434.25</v>
      </c>
      <c r="U409" s="126"/>
      <c r="V409" s="125">
        <v>0</v>
      </c>
      <c r="W409" s="126"/>
      <c r="X409" s="127"/>
      <c r="Y409" s="128"/>
      <c r="Z409" s="91">
        <f t="shared" si="48"/>
        <v>-163049.34</v>
      </c>
      <c r="AA409" s="92">
        <v>-163049.34</v>
      </c>
      <c r="AB409" s="92">
        <f t="shared" si="45"/>
        <v>0</v>
      </c>
    </row>
    <row r="410" spans="1:28" x14ac:dyDescent="0.2">
      <c r="A410" s="288">
        <v>40908</v>
      </c>
      <c r="B410" s="91">
        <v>0</v>
      </c>
      <c r="C410" s="91">
        <v>-4725.9799999999996</v>
      </c>
      <c r="D410" s="91">
        <v>0</v>
      </c>
      <c r="E410" s="121">
        <f t="shared" si="54"/>
        <v>4725.9799999999996</v>
      </c>
      <c r="F410" s="91">
        <v>0</v>
      </c>
      <c r="G410" s="121">
        <f t="shared" si="53"/>
        <v>4725.9799999999996</v>
      </c>
      <c r="H410" s="91">
        <v>95810.32</v>
      </c>
      <c r="I410" s="91"/>
      <c r="J410" s="91">
        <v>0</v>
      </c>
      <c r="K410" s="114">
        <v>0</v>
      </c>
      <c r="L410" s="122"/>
      <c r="M410" s="123">
        <v>0</v>
      </c>
      <c r="N410" s="124"/>
      <c r="O410" s="124">
        <v>0</v>
      </c>
      <c r="P410" s="125">
        <v>34.07</v>
      </c>
      <c r="Q410" s="103"/>
      <c r="R410" s="125">
        <v>272.18</v>
      </c>
      <c r="S410" s="126"/>
      <c r="T410" s="125">
        <v>17229.11</v>
      </c>
      <c r="U410" s="126"/>
      <c r="V410" s="125">
        <v>0</v>
      </c>
      <c r="W410" s="126"/>
      <c r="X410" s="127"/>
      <c r="Y410" s="128"/>
      <c r="Z410" s="91">
        <f t="shared" si="48"/>
        <v>-108619.70000000001</v>
      </c>
      <c r="AA410" s="92">
        <v>-108619.7</v>
      </c>
      <c r="AB410" s="92">
        <f t="shared" si="45"/>
        <v>0</v>
      </c>
    </row>
    <row r="411" spans="1:28" x14ac:dyDescent="0.2">
      <c r="A411" s="288">
        <v>40999</v>
      </c>
      <c r="B411" s="91">
        <v>68570</v>
      </c>
      <c r="C411" s="91">
        <v>-1153.81</v>
      </c>
      <c r="D411" s="91">
        <v>0</v>
      </c>
      <c r="E411" s="121">
        <f t="shared" si="54"/>
        <v>69723.81</v>
      </c>
      <c r="F411" s="91">
        <v>0</v>
      </c>
      <c r="G411" s="121">
        <f t="shared" si="53"/>
        <v>69723.81</v>
      </c>
      <c r="H411" s="91">
        <v>112801.83</v>
      </c>
      <c r="I411" s="91"/>
      <c r="J411" s="91">
        <v>15222.55</v>
      </c>
      <c r="K411" s="114">
        <v>15222.55</v>
      </c>
      <c r="L411" s="122"/>
      <c r="M411" s="123">
        <v>0</v>
      </c>
      <c r="N411" s="124"/>
      <c r="O411" s="124">
        <v>0</v>
      </c>
      <c r="P411" s="125">
        <v>0</v>
      </c>
      <c r="Q411" s="103"/>
      <c r="R411" s="125">
        <v>2115.73</v>
      </c>
      <c r="S411" s="126"/>
      <c r="T411" s="125">
        <v>9109.5499999999993</v>
      </c>
      <c r="U411" s="126"/>
      <c r="V411" s="125">
        <v>0</v>
      </c>
      <c r="W411" s="126"/>
      <c r="X411" s="127"/>
      <c r="Y411" s="128"/>
      <c r="Z411" s="91">
        <f t="shared" si="48"/>
        <v>-69525.850000000006</v>
      </c>
      <c r="AA411" s="92">
        <v>-69525.850000000006</v>
      </c>
      <c r="AB411" s="92">
        <f t="shared" si="45"/>
        <v>0</v>
      </c>
    </row>
    <row r="412" spans="1:28" x14ac:dyDescent="0.2">
      <c r="A412" s="288">
        <v>41090</v>
      </c>
      <c r="B412" s="91">
        <v>0</v>
      </c>
      <c r="C412" s="91">
        <v>30328.38</v>
      </c>
      <c r="D412" s="91">
        <v>0</v>
      </c>
      <c r="E412" s="121">
        <f t="shared" si="54"/>
        <v>-30328.38</v>
      </c>
      <c r="F412" s="91">
        <v>0</v>
      </c>
      <c r="G412" s="121">
        <f t="shared" si="53"/>
        <v>-30328.38</v>
      </c>
      <c r="H412" s="91">
        <v>101840.44</v>
      </c>
      <c r="I412" s="91"/>
      <c r="J412" s="91">
        <v>0</v>
      </c>
      <c r="K412" s="114">
        <v>0</v>
      </c>
      <c r="L412" s="122"/>
      <c r="M412" s="123">
        <v>0</v>
      </c>
      <c r="N412" s="124"/>
      <c r="O412" s="124">
        <v>0</v>
      </c>
      <c r="P412" s="125">
        <v>0</v>
      </c>
      <c r="Q412" s="103"/>
      <c r="R412" s="125">
        <v>-889.17</v>
      </c>
      <c r="S412" s="126"/>
      <c r="T412" s="125">
        <v>5548.5</v>
      </c>
      <c r="U412" s="126"/>
      <c r="V412" s="125">
        <v>0</v>
      </c>
      <c r="W412" s="126"/>
      <c r="X412" s="127"/>
      <c r="Y412" s="128"/>
      <c r="Z412" s="91">
        <f t="shared" si="48"/>
        <v>-136828.15</v>
      </c>
      <c r="AA412" s="92">
        <v>-136828.15</v>
      </c>
      <c r="AB412" s="92">
        <f t="shared" si="45"/>
        <v>0</v>
      </c>
    </row>
    <row r="413" spans="1:28" x14ac:dyDescent="0.2">
      <c r="A413" s="288">
        <v>41182</v>
      </c>
      <c r="B413" s="91">
        <v>0</v>
      </c>
      <c r="C413" s="91">
        <v>-12700.67</v>
      </c>
      <c r="D413" s="91">
        <v>0</v>
      </c>
      <c r="E413" s="121">
        <f t="shared" si="54"/>
        <v>12700.67</v>
      </c>
      <c r="F413" s="91">
        <v>0</v>
      </c>
      <c r="G413" s="121">
        <f t="shared" si="53"/>
        <v>12700.67</v>
      </c>
      <c r="H413" s="91">
        <v>74136.38</v>
      </c>
      <c r="I413" s="91"/>
      <c r="J413" s="91">
        <v>0</v>
      </c>
      <c r="K413" s="114">
        <v>0</v>
      </c>
      <c r="L413" s="122"/>
      <c r="M413" s="123">
        <v>0</v>
      </c>
      <c r="N413" s="124"/>
      <c r="O413" s="124">
        <v>0</v>
      </c>
      <c r="P413" s="125">
        <v>0</v>
      </c>
      <c r="Q413" s="103"/>
      <c r="R413" s="125">
        <v>1376.57</v>
      </c>
      <c r="S413" s="126"/>
      <c r="T413" s="125">
        <v>9336.7000000000007</v>
      </c>
      <c r="U413" s="126"/>
      <c r="V413" s="125">
        <v>0</v>
      </c>
      <c r="W413" s="126"/>
      <c r="X413" s="127"/>
      <c r="Y413" s="128"/>
      <c r="Z413" s="91">
        <f t="shared" si="48"/>
        <v>-72148.98000000001</v>
      </c>
      <c r="AA413" s="92">
        <v>-72148.98</v>
      </c>
      <c r="AB413" s="92">
        <f t="shared" si="45"/>
        <v>0</v>
      </c>
    </row>
    <row r="414" spans="1:28" x14ac:dyDescent="0.2">
      <c r="A414" s="288">
        <v>41274</v>
      </c>
      <c r="B414" s="91">
        <v>0</v>
      </c>
      <c r="C414" s="91">
        <v>-567.5</v>
      </c>
      <c r="D414" s="91">
        <v>0</v>
      </c>
      <c r="E414" s="121">
        <f t="shared" si="54"/>
        <v>567.5</v>
      </c>
      <c r="F414" s="91">
        <v>0</v>
      </c>
      <c r="G414" s="121">
        <f t="shared" si="53"/>
        <v>567.5</v>
      </c>
      <c r="H414" s="91">
        <v>119739.27</v>
      </c>
      <c r="I414" s="91"/>
      <c r="J414" s="91">
        <v>0</v>
      </c>
      <c r="K414" s="114"/>
      <c r="L414" s="122"/>
      <c r="M414" s="123"/>
      <c r="N414" s="124"/>
      <c r="O414" s="124"/>
      <c r="P414" s="125">
        <v>0</v>
      </c>
      <c r="Q414" s="103"/>
      <c r="R414" s="125">
        <v>24.32</v>
      </c>
      <c r="S414" s="126"/>
      <c r="T414" s="125">
        <v>15037.6</v>
      </c>
      <c r="U414" s="126"/>
      <c r="V414" s="125">
        <v>0</v>
      </c>
      <c r="W414" s="126"/>
      <c r="X414" s="127"/>
      <c r="Y414" s="128"/>
      <c r="Z414" s="91">
        <f t="shared" si="48"/>
        <v>-134233.69</v>
      </c>
      <c r="AA414" s="92">
        <v>-134233.69</v>
      </c>
      <c r="AB414" s="92">
        <f t="shared" si="45"/>
        <v>0</v>
      </c>
    </row>
    <row r="415" spans="1:28" x14ac:dyDescent="0.2">
      <c r="A415" s="288">
        <v>41364</v>
      </c>
      <c r="B415" s="91">
        <v>0</v>
      </c>
      <c r="C415" s="91">
        <v>-39.04</v>
      </c>
      <c r="D415" s="91">
        <v>0</v>
      </c>
      <c r="E415" s="121">
        <f t="shared" si="54"/>
        <v>39.04</v>
      </c>
      <c r="F415" s="91">
        <v>0</v>
      </c>
      <c r="G415" s="121">
        <f t="shared" si="53"/>
        <v>39.04</v>
      </c>
      <c r="H415" s="91">
        <v>89641.91</v>
      </c>
      <c r="I415" s="91"/>
      <c r="J415" s="91">
        <v>0</v>
      </c>
      <c r="K415" s="114">
        <v>0</v>
      </c>
      <c r="L415" s="122"/>
      <c r="M415" s="123">
        <v>0</v>
      </c>
      <c r="N415" s="124"/>
      <c r="O415" s="124"/>
      <c r="P415" s="125">
        <v>0</v>
      </c>
      <c r="Q415" s="103"/>
      <c r="R415" s="125">
        <v>-720.08</v>
      </c>
      <c r="S415" s="126"/>
      <c r="T415" s="125">
        <v>18625.849999999999</v>
      </c>
      <c r="U415" s="126"/>
      <c r="V415" s="125">
        <v>0</v>
      </c>
      <c r="W415" s="126"/>
      <c r="X415" s="127"/>
      <c r="Y415" s="128"/>
      <c r="Z415" s="91">
        <f t="shared" si="48"/>
        <v>-107508.64000000001</v>
      </c>
      <c r="AA415" s="92">
        <v>-107508.64</v>
      </c>
      <c r="AB415" s="92">
        <f t="shared" si="45"/>
        <v>0</v>
      </c>
    </row>
    <row r="416" spans="1:28" x14ac:dyDescent="0.2">
      <c r="A416" s="288">
        <v>41455</v>
      </c>
      <c r="B416" s="91">
        <v>0</v>
      </c>
      <c r="C416" s="91">
        <v>89057.01</v>
      </c>
      <c r="D416" s="91">
        <v>0</v>
      </c>
      <c r="E416" s="121">
        <f t="shared" si="54"/>
        <v>-89057.01</v>
      </c>
      <c r="F416" s="91">
        <v>0</v>
      </c>
      <c r="G416" s="121">
        <f t="shared" si="53"/>
        <v>-89057.01</v>
      </c>
      <c r="H416" s="91">
        <v>51013.1</v>
      </c>
      <c r="I416" s="91"/>
      <c r="J416" s="91">
        <v>0</v>
      </c>
      <c r="K416" s="114">
        <v>0</v>
      </c>
      <c r="L416" s="122"/>
      <c r="M416" s="123">
        <v>0</v>
      </c>
      <c r="N416" s="124"/>
      <c r="O416" s="124">
        <v>0</v>
      </c>
      <c r="P416" s="125">
        <v>0</v>
      </c>
      <c r="Q416" s="103"/>
      <c r="R416" s="125">
        <v>-3571.31</v>
      </c>
      <c r="S416" s="126"/>
      <c r="T416" s="125">
        <v>17054.93</v>
      </c>
      <c r="U416" s="126"/>
      <c r="V416" s="125">
        <v>0</v>
      </c>
      <c r="W416" s="126"/>
      <c r="X416" s="127"/>
      <c r="Y416" s="128"/>
      <c r="Z416" s="91">
        <f t="shared" si="48"/>
        <v>-153553.72999999998</v>
      </c>
      <c r="AA416" s="92">
        <v>-153553.73000000001</v>
      </c>
      <c r="AB416" s="92">
        <f t="shared" si="45"/>
        <v>0</v>
      </c>
    </row>
    <row r="417" spans="1:28" x14ac:dyDescent="0.2">
      <c r="A417" s="288">
        <v>41547</v>
      </c>
      <c r="B417" s="91">
        <v>9</v>
      </c>
      <c r="C417" s="91">
        <v>-13494.39</v>
      </c>
      <c r="D417" s="91">
        <v>0</v>
      </c>
      <c r="E417" s="121">
        <f t="shared" si="54"/>
        <v>13503.39</v>
      </c>
      <c r="F417" s="91">
        <v>0</v>
      </c>
      <c r="G417" s="121">
        <f t="shared" si="53"/>
        <v>13503.39</v>
      </c>
      <c r="H417" s="91">
        <v>173746.71</v>
      </c>
      <c r="I417" s="91"/>
      <c r="J417" s="91">
        <v>2</v>
      </c>
      <c r="K417" s="114">
        <v>2</v>
      </c>
      <c r="L417" s="122"/>
      <c r="M417" s="123">
        <v>0</v>
      </c>
      <c r="N417" s="124"/>
      <c r="O417" s="124"/>
      <c r="P417" s="125">
        <v>0</v>
      </c>
      <c r="Q417" s="103"/>
      <c r="R417" s="125">
        <v>-6266.69</v>
      </c>
      <c r="S417" s="126"/>
      <c r="T417" s="125">
        <v>10616.04</v>
      </c>
      <c r="U417" s="126"/>
      <c r="V417" s="125">
        <v>0</v>
      </c>
      <c r="W417" s="126"/>
      <c r="X417" s="127"/>
      <c r="Y417" s="128"/>
      <c r="Z417" s="91">
        <f t="shared" si="48"/>
        <v>-164594.67000000001</v>
      </c>
      <c r="AA417" s="92">
        <v>-164594.67000000001</v>
      </c>
      <c r="AB417" s="92">
        <f t="shared" si="45"/>
        <v>0</v>
      </c>
    </row>
    <row r="418" spans="1:28" x14ac:dyDescent="0.2">
      <c r="A418" s="95"/>
      <c r="B418" s="96">
        <f>SUM(B375:B417)</f>
        <v>104746776</v>
      </c>
      <c r="C418" s="96">
        <f>SUM(C375:C417)</f>
        <v>3016071.7699999986</v>
      </c>
      <c r="D418" s="96">
        <f>D414</f>
        <v>0</v>
      </c>
      <c r="E418" s="96">
        <f>SUM(E375:E417)</f>
        <v>-69128.259999999966</v>
      </c>
      <c r="F418" s="96">
        <f>F414</f>
        <v>0</v>
      </c>
      <c r="G418" s="96">
        <f>SUM(G375:G417)</f>
        <v>101730704.22999999</v>
      </c>
      <c r="H418" s="96">
        <f>SUM(H375:H417)</f>
        <v>45227016.690000005</v>
      </c>
      <c r="I418" s="96">
        <f>SUM(I375:I404)</f>
        <v>0</v>
      </c>
      <c r="J418" s="96">
        <f>SUM(J375:J417)</f>
        <v>26929041.029999997</v>
      </c>
      <c r="K418" s="96">
        <f>SUM(K375:K413)</f>
        <v>20668173.029999997</v>
      </c>
      <c r="L418" s="97">
        <f>K418/G418</f>
        <v>0.2031655357783814</v>
      </c>
      <c r="M418" s="96">
        <f>SUM(M375:M413)</f>
        <v>6260866</v>
      </c>
      <c r="N418" s="129">
        <f>M418/G418</f>
        <v>6.1543523633189351E-2</v>
      </c>
      <c r="O418" s="96">
        <f>SUM(O375:O404)</f>
        <v>0</v>
      </c>
      <c r="P418" s="96">
        <f>SUM(P375:P417)</f>
        <v>1186857.1299999994</v>
      </c>
      <c r="Q418" s="129">
        <f>P418/G418</f>
        <v>1.1666655991259715E-2</v>
      </c>
      <c r="R418" s="96">
        <f>SUM(R375:R417)</f>
        <v>4594847.33</v>
      </c>
      <c r="S418" s="97">
        <f>R418/G418</f>
        <v>4.5166770099336416E-2</v>
      </c>
      <c r="T418" s="96">
        <f>SUM(T375:T417)</f>
        <v>5757596.7099999981</v>
      </c>
      <c r="U418" s="129">
        <f>T418/G418</f>
        <v>5.6596449946741893E-2</v>
      </c>
      <c r="V418" s="96">
        <f>SUM(V375:V417)</f>
        <v>71222.2</v>
      </c>
      <c r="W418" s="97">
        <f>V418/G418</f>
        <v>7.0010524884380821E-4</v>
      </c>
      <c r="X418" s="96">
        <f>SUM(X375:X404)</f>
        <v>3776000</v>
      </c>
      <c r="Y418" s="96">
        <f>SUM(Y375:Y404)</f>
        <v>0</v>
      </c>
      <c r="Z418" s="96">
        <f>SUM(Z375:Z417)</f>
        <v>18106567.539999999</v>
      </c>
    </row>
    <row r="419" spans="1:28" x14ac:dyDescent="0.2">
      <c r="A419" s="95"/>
      <c r="B419" s="91"/>
      <c r="C419" s="91"/>
      <c r="D419" s="91"/>
      <c r="E419" s="91"/>
      <c r="F419" s="91"/>
      <c r="G419" s="91"/>
      <c r="H419" s="91"/>
      <c r="I419" s="91"/>
      <c r="J419" s="91"/>
      <c r="K419" s="90"/>
      <c r="L419" s="89"/>
      <c r="M419" s="89"/>
      <c r="N419" s="89"/>
      <c r="O419" s="89"/>
      <c r="P419" s="91"/>
      <c r="Q419" s="90"/>
      <c r="R419" s="91"/>
      <c r="S419" s="90"/>
      <c r="T419" s="91"/>
      <c r="U419" s="90"/>
      <c r="V419" s="91"/>
      <c r="W419" s="90"/>
      <c r="X419" s="90"/>
      <c r="Y419" s="90"/>
      <c r="Z419" s="101">
        <f>+B418-C418-H418-J418-P418-R418-T418+V418</f>
        <v>18106567.540000007</v>
      </c>
      <c r="AA419" s="85">
        <f>Z419-Z418</f>
        <v>0</v>
      </c>
    </row>
    <row r="420" spans="1:28" x14ac:dyDescent="0.2">
      <c r="A420" s="82" t="s">
        <v>129</v>
      </c>
      <c r="B420" s="125"/>
      <c r="C420" s="125"/>
      <c r="D420" s="125"/>
      <c r="E420" s="125"/>
      <c r="F420" s="125"/>
      <c r="G420" s="125"/>
      <c r="H420" s="125"/>
      <c r="I420" s="125"/>
      <c r="J420" s="125"/>
      <c r="K420" s="125"/>
      <c r="L420" s="130"/>
      <c r="M420" s="130"/>
      <c r="N420" s="130"/>
      <c r="O420" s="130"/>
      <c r="P420" s="125"/>
      <c r="Q420" s="125"/>
      <c r="R420" s="125"/>
      <c r="S420" s="125"/>
      <c r="T420" s="125"/>
      <c r="U420" s="125"/>
      <c r="V420" s="125"/>
      <c r="W420" s="131"/>
      <c r="X420" s="131"/>
      <c r="Y420" s="131"/>
      <c r="Z420" s="132" t="str">
        <f>IF(Z419=Z418,"Check","NO")</f>
        <v>Check</v>
      </c>
    </row>
    <row r="421" spans="1:28" ht="38.25" x14ac:dyDescent="0.2">
      <c r="A421" s="86" t="s">
        <v>143</v>
      </c>
      <c r="B421" s="87" t="s">
        <v>144</v>
      </c>
      <c r="C421" s="87" t="s">
        <v>145</v>
      </c>
      <c r="D421" s="87" t="s">
        <v>170</v>
      </c>
      <c r="E421" s="87" t="s">
        <v>171</v>
      </c>
      <c r="F421" s="87" t="s">
        <v>172</v>
      </c>
      <c r="G421" s="87" t="s">
        <v>146</v>
      </c>
      <c r="H421" s="87" t="s">
        <v>147</v>
      </c>
      <c r="I421" s="87" t="s">
        <v>148</v>
      </c>
      <c r="J421" s="87" t="s">
        <v>169</v>
      </c>
      <c r="K421" s="87" t="s">
        <v>136</v>
      </c>
      <c r="L421" s="87" t="s">
        <v>149</v>
      </c>
      <c r="M421" s="87" t="s">
        <v>163</v>
      </c>
      <c r="N421" s="87" t="s">
        <v>164</v>
      </c>
      <c r="O421" s="87" t="s">
        <v>207</v>
      </c>
      <c r="P421" s="87" t="s">
        <v>150</v>
      </c>
      <c r="Q421" s="87" t="s">
        <v>151</v>
      </c>
      <c r="R421" s="87" t="s">
        <v>152</v>
      </c>
      <c r="S421" s="87" t="s">
        <v>153</v>
      </c>
      <c r="T421" s="87" t="s">
        <v>154</v>
      </c>
      <c r="U421" s="87" t="s">
        <v>155</v>
      </c>
      <c r="V421" s="87" t="s">
        <v>156</v>
      </c>
      <c r="W421" s="87" t="s">
        <v>157</v>
      </c>
      <c r="X421" s="87" t="s">
        <v>165</v>
      </c>
      <c r="Y421" s="87" t="s">
        <v>166</v>
      </c>
      <c r="Z421" s="87" t="s">
        <v>158</v>
      </c>
      <c r="AA421" s="87" t="s">
        <v>173</v>
      </c>
      <c r="AB421" s="87" t="s">
        <v>175</v>
      </c>
    </row>
    <row r="422" spans="1:28" x14ac:dyDescent="0.2">
      <c r="A422" s="133">
        <v>38077</v>
      </c>
      <c r="B422" s="108">
        <v>21829056.41</v>
      </c>
      <c r="C422" s="108">
        <v>0</v>
      </c>
      <c r="D422" s="108"/>
      <c r="E422" s="108"/>
      <c r="F422" s="108"/>
      <c r="G422" s="108">
        <f>B422-C422</f>
        <v>21829056.41</v>
      </c>
      <c r="H422" s="108">
        <v>119424.23</v>
      </c>
      <c r="I422" s="108"/>
      <c r="J422" s="91">
        <f>K422+M422</f>
        <v>5796092.8100000005</v>
      </c>
      <c r="K422" s="108">
        <v>4155839.37</v>
      </c>
      <c r="L422" s="112"/>
      <c r="M422" s="107">
        <v>1640253.4399999999</v>
      </c>
      <c r="N422" s="112"/>
      <c r="O422" s="112"/>
      <c r="P422" s="108">
        <v>320030.88</v>
      </c>
      <c r="Q422" s="108"/>
      <c r="R422" s="108">
        <v>1024796.91</v>
      </c>
      <c r="S422" s="108"/>
      <c r="T422" s="108">
        <v>7566.75</v>
      </c>
      <c r="U422" s="108"/>
      <c r="V422" s="108">
        <v>13742.97</v>
      </c>
      <c r="W422" s="108"/>
      <c r="X422" s="108"/>
      <c r="Y422" s="108"/>
      <c r="Z422" s="91">
        <f t="shared" ref="Z422:Z432" si="55">B422-C422-H422-J422-P422-R422-T422+V422</f>
        <v>14574887.799999999</v>
      </c>
      <c r="AA422" s="92">
        <v>14489911.390000001</v>
      </c>
      <c r="AB422" s="92">
        <f t="shared" ref="AB422:AB460" si="56">Z422-AA422</f>
        <v>84976.409999998286</v>
      </c>
    </row>
    <row r="423" spans="1:28" x14ac:dyDescent="0.2">
      <c r="A423" s="95">
        <v>38168</v>
      </c>
      <c r="B423" s="91">
        <v>25700072.920000002</v>
      </c>
      <c r="C423" s="91">
        <v>0</v>
      </c>
      <c r="D423" s="91"/>
      <c r="E423" s="91"/>
      <c r="F423" s="91"/>
      <c r="G423" s="91">
        <f>B423-C423</f>
        <v>25700072.920000002</v>
      </c>
      <c r="H423" s="91">
        <v>792018.52</v>
      </c>
      <c r="I423" s="91"/>
      <c r="J423" s="91">
        <f t="shared" ref="J423:J439" si="57">K423+M423</f>
        <v>6727557.21</v>
      </c>
      <c r="K423" s="91">
        <v>5005410.07</v>
      </c>
      <c r="L423" s="113"/>
      <c r="M423" s="94">
        <v>1722147.14</v>
      </c>
      <c r="N423" s="113"/>
      <c r="O423" s="113"/>
      <c r="P423" s="91">
        <v>258733.24</v>
      </c>
      <c r="Q423" s="91"/>
      <c r="R423" s="91">
        <v>1241013.8799999999</v>
      </c>
      <c r="S423" s="91"/>
      <c r="T423" s="91">
        <v>65788.55</v>
      </c>
      <c r="U423" s="91"/>
      <c r="V423" s="91">
        <v>16842.28</v>
      </c>
      <c r="W423" s="91"/>
      <c r="X423" s="91"/>
      <c r="Y423" s="91"/>
      <c r="Z423" s="91">
        <f t="shared" si="55"/>
        <v>16631803.800000003</v>
      </c>
      <c r="AA423" s="92">
        <v>16572762.15</v>
      </c>
      <c r="AB423" s="92">
        <f t="shared" si="56"/>
        <v>59041.650000002235</v>
      </c>
    </row>
    <row r="424" spans="1:28" x14ac:dyDescent="0.2">
      <c r="A424" s="95">
        <v>38260</v>
      </c>
      <c r="B424" s="91">
        <v>25755059.329999998</v>
      </c>
      <c r="C424" s="91">
        <v>3634</v>
      </c>
      <c r="D424" s="91"/>
      <c r="E424" s="91"/>
      <c r="F424" s="91"/>
      <c r="G424" s="91">
        <f t="shared" ref="G424:G430" si="58">B424-C424</f>
        <v>25751425.329999998</v>
      </c>
      <c r="H424" s="91">
        <v>1657596.43</v>
      </c>
      <c r="I424" s="91"/>
      <c r="J424" s="91">
        <f t="shared" si="57"/>
        <v>5884985.8400000008</v>
      </c>
      <c r="K424" s="91">
        <f>1797571.17+2696033.31</f>
        <v>4493604.4800000004</v>
      </c>
      <c r="L424" s="113"/>
      <c r="M424" s="94">
        <v>1391381.36</v>
      </c>
      <c r="N424" s="113"/>
      <c r="O424" s="113"/>
      <c r="P424" s="91">
        <v>280021.77</v>
      </c>
      <c r="Q424" s="91"/>
      <c r="R424" s="91">
        <v>1123463.1599999999</v>
      </c>
      <c r="S424" s="91"/>
      <c r="T424" s="91">
        <v>201874.46</v>
      </c>
      <c r="U424" s="91"/>
      <c r="V424" s="91">
        <v>36233.35</v>
      </c>
      <c r="W424" s="91"/>
      <c r="X424" s="91"/>
      <c r="Y424" s="91"/>
      <c r="Z424" s="91">
        <f t="shared" si="55"/>
        <v>16639717.019999998</v>
      </c>
      <c r="AA424" s="92">
        <v>16560734.029999999</v>
      </c>
      <c r="AB424" s="92">
        <f t="shared" si="56"/>
        <v>78982.989999998361</v>
      </c>
    </row>
    <row r="425" spans="1:28" x14ac:dyDescent="0.2">
      <c r="A425" s="95">
        <v>38352</v>
      </c>
      <c r="B425" s="91">
        <v>21779057.960000001</v>
      </c>
      <c r="C425" s="91">
        <v>29869.59</v>
      </c>
      <c r="D425" s="91"/>
      <c r="E425" s="91"/>
      <c r="F425" s="91"/>
      <c r="G425" s="91">
        <f t="shared" si="58"/>
        <v>21749188.370000001</v>
      </c>
      <c r="H425" s="91">
        <v>3487571.89</v>
      </c>
      <c r="I425" s="91"/>
      <c r="J425" s="91">
        <f t="shared" si="57"/>
        <v>5115774.08</v>
      </c>
      <c r="K425" s="91">
        <f>530278.29+3187840.62</f>
        <v>3718118.91</v>
      </c>
      <c r="L425" s="113"/>
      <c r="M425" s="94">
        <v>1397655.17</v>
      </c>
      <c r="N425" s="113"/>
      <c r="O425" s="113"/>
      <c r="P425" s="91">
        <v>265452.49</v>
      </c>
      <c r="Q425" s="91"/>
      <c r="R425" s="91">
        <v>1003477.88</v>
      </c>
      <c r="S425" s="91"/>
      <c r="T425" s="91">
        <v>332329.03000000003</v>
      </c>
      <c r="U425" s="91"/>
      <c r="V425" s="91">
        <v>41444.14</v>
      </c>
      <c r="W425" s="91"/>
      <c r="X425" s="91"/>
      <c r="Y425" s="91"/>
      <c r="Z425" s="91">
        <f t="shared" si="55"/>
        <v>11586027.140000001</v>
      </c>
      <c r="AA425" s="92">
        <v>11184414</v>
      </c>
      <c r="AB425" s="92">
        <f t="shared" si="56"/>
        <v>401613.1400000006</v>
      </c>
    </row>
    <row r="426" spans="1:28" x14ac:dyDescent="0.2">
      <c r="A426" s="95">
        <v>38442</v>
      </c>
      <c r="B426" s="91">
        <v>5474732.7400000002</v>
      </c>
      <c r="C426" s="91">
        <v>241810.57</v>
      </c>
      <c r="D426" s="91"/>
      <c r="E426" s="91"/>
      <c r="F426" s="91"/>
      <c r="G426" s="91">
        <f t="shared" si="58"/>
        <v>5232922.17</v>
      </c>
      <c r="H426" s="91">
        <v>4631101.74</v>
      </c>
      <c r="I426" s="91"/>
      <c r="J426" s="91">
        <f t="shared" si="57"/>
        <v>1016368.05</v>
      </c>
      <c r="K426" s="91">
        <f>266065.71+779769.57</f>
        <v>1045835.28</v>
      </c>
      <c r="L426" s="113"/>
      <c r="M426" s="94">
        <v>-29467.23</v>
      </c>
      <c r="N426" s="113"/>
      <c r="O426" s="113"/>
      <c r="P426" s="91">
        <v>13814.01</v>
      </c>
      <c r="Q426" s="91"/>
      <c r="R426" s="91">
        <v>125284.6</v>
      </c>
      <c r="S426" s="91"/>
      <c r="T426" s="91">
        <v>546653.57999999996</v>
      </c>
      <c r="U426" s="91"/>
      <c r="V426" s="91">
        <v>0</v>
      </c>
      <c r="W426" s="91"/>
      <c r="X426" s="91"/>
      <c r="Y426" s="91"/>
      <c r="Z426" s="91">
        <f t="shared" si="55"/>
        <v>-1100299.8100000003</v>
      </c>
      <c r="AA426" s="92">
        <v>-1100299.81</v>
      </c>
      <c r="AB426" s="92">
        <f t="shared" si="56"/>
        <v>0</v>
      </c>
    </row>
    <row r="427" spans="1:28" x14ac:dyDescent="0.2">
      <c r="A427" s="95">
        <v>38533</v>
      </c>
      <c r="B427" s="91">
        <v>3508119.64</v>
      </c>
      <c r="C427" s="91">
        <v>126802.39</v>
      </c>
      <c r="D427" s="91"/>
      <c r="E427" s="91"/>
      <c r="F427" s="91"/>
      <c r="G427" s="91">
        <f t="shared" si="58"/>
        <v>3381317.25</v>
      </c>
      <c r="H427" s="91">
        <v>5152463.7699999996</v>
      </c>
      <c r="I427" s="91"/>
      <c r="J427" s="91">
        <f t="shared" si="57"/>
        <v>558013.63000000012</v>
      </c>
      <c r="K427" s="91">
        <f>355269.07+281223</f>
        <v>636492.07000000007</v>
      </c>
      <c r="L427" s="113"/>
      <c r="M427" s="94">
        <v>-78478.44</v>
      </c>
      <c r="N427" s="113"/>
      <c r="O427" s="113"/>
      <c r="P427" s="91">
        <v>-198962.11</v>
      </c>
      <c r="Q427" s="91"/>
      <c r="R427" s="91">
        <v>83121.960000000006</v>
      </c>
      <c r="S427" s="91"/>
      <c r="T427" s="91">
        <v>605080.93000000005</v>
      </c>
      <c r="U427" s="91"/>
      <c r="V427" s="91">
        <v>0</v>
      </c>
      <c r="W427" s="91"/>
      <c r="X427" s="91"/>
      <c r="Y427" s="91"/>
      <c r="Z427" s="91">
        <f t="shared" si="55"/>
        <v>-2818400.9299999997</v>
      </c>
      <c r="AA427" s="92">
        <v>-2818400.93</v>
      </c>
      <c r="AB427" s="92">
        <f t="shared" si="56"/>
        <v>0</v>
      </c>
    </row>
    <row r="428" spans="1:28" x14ac:dyDescent="0.2">
      <c r="A428" s="95">
        <v>38625</v>
      </c>
      <c r="B428" s="91">
        <v>773537.91</v>
      </c>
      <c r="C428" s="91">
        <v>185373.38</v>
      </c>
      <c r="D428" s="91"/>
      <c r="E428" s="91"/>
      <c r="F428" s="91"/>
      <c r="G428" s="91">
        <f t="shared" si="58"/>
        <v>588164.53</v>
      </c>
      <c r="H428" s="91">
        <v>5039408.5</v>
      </c>
      <c r="I428" s="91"/>
      <c r="J428" s="91">
        <f t="shared" si="57"/>
        <v>122410.30000000002</v>
      </c>
      <c r="K428" s="91">
        <f>94604.54+73348.22</f>
        <v>167952.76</v>
      </c>
      <c r="L428" s="113"/>
      <c r="M428" s="94">
        <v>-45542.46</v>
      </c>
      <c r="N428" s="113"/>
      <c r="O428" s="113"/>
      <c r="P428" s="91">
        <v>18051.849999999999</v>
      </c>
      <c r="Q428" s="91"/>
      <c r="R428" s="91">
        <v>1041</v>
      </c>
      <c r="S428" s="91"/>
      <c r="T428" s="91">
        <v>589875.98</v>
      </c>
      <c r="U428" s="91"/>
      <c r="V428" s="91">
        <v>0</v>
      </c>
      <c r="W428" s="91"/>
      <c r="X428" s="91"/>
      <c r="Y428" s="91"/>
      <c r="Z428" s="91">
        <f t="shared" si="55"/>
        <v>-5182623.0999999996</v>
      </c>
      <c r="AA428" s="92">
        <v>-5182623.0999999996</v>
      </c>
      <c r="AB428" s="92">
        <f t="shared" si="56"/>
        <v>0</v>
      </c>
    </row>
    <row r="429" spans="1:28" x14ac:dyDescent="0.2">
      <c r="A429" s="95">
        <v>38717</v>
      </c>
      <c r="B429" s="91">
        <v>490209.09</v>
      </c>
      <c r="C429" s="134">
        <v>470230.87</v>
      </c>
      <c r="D429" s="134"/>
      <c r="E429" s="134"/>
      <c r="F429" s="134"/>
      <c r="G429" s="91">
        <f t="shared" si="58"/>
        <v>19978.22000000003</v>
      </c>
      <c r="H429" s="91">
        <v>4128271.16</v>
      </c>
      <c r="I429" s="91"/>
      <c r="J429" s="91">
        <f t="shared" si="57"/>
        <v>106305.12000000001</v>
      </c>
      <c r="K429" s="91">
        <f>165944.76+-27797.66</f>
        <v>138147.1</v>
      </c>
      <c r="L429" s="113"/>
      <c r="M429" s="94">
        <v>-31841.98</v>
      </c>
      <c r="N429" s="113"/>
      <c r="O429" s="113"/>
      <c r="P429" s="91">
        <v>16609.060000000001</v>
      </c>
      <c r="Q429" s="91"/>
      <c r="R429" s="91">
        <v>6425.29</v>
      </c>
      <c r="S429" s="91"/>
      <c r="T429" s="91">
        <v>520437.32</v>
      </c>
      <c r="U429" s="91"/>
      <c r="V429" s="91">
        <v>0</v>
      </c>
      <c r="W429" s="91"/>
      <c r="X429" s="91"/>
      <c r="Y429" s="91"/>
      <c r="Z429" s="91">
        <f t="shared" si="55"/>
        <v>-4758069.7299999995</v>
      </c>
      <c r="AA429" s="92">
        <v>-4758069.7300000004</v>
      </c>
      <c r="AB429" s="92">
        <f t="shared" si="56"/>
        <v>0</v>
      </c>
    </row>
    <row r="430" spans="1:28" x14ac:dyDescent="0.2">
      <c r="A430" s="95">
        <v>38807</v>
      </c>
      <c r="B430" s="91">
        <v>97779</v>
      </c>
      <c r="C430" s="91">
        <v>132358.49</v>
      </c>
      <c r="D430" s="91"/>
      <c r="E430" s="91"/>
      <c r="F430" s="91"/>
      <c r="G430" s="91">
        <f t="shared" si="58"/>
        <v>-34579.489999999991</v>
      </c>
      <c r="H430" s="91">
        <v>3689859.69</v>
      </c>
      <c r="I430" s="91"/>
      <c r="J430" s="91">
        <f t="shared" si="57"/>
        <v>26707.25</v>
      </c>
      <c r="K430" s="91">
        <f>71897.84+-30470.59</f>
        <v>41427.25</v>
      </c>
      <c r="L430" s="113"/>
      <c r="M430" s="94">
        <v>-14720</v>
      </c>
      <c r="N430" s="113"/>
      <c r="O430" s="113"/>
      <c r="P430" s="91">
        <v>0</v>
      </c>
      <c r="Q430" s="91"/>
      <c r="R430" s="91">
        <v>-649.41999999999996</v>
      </c>
      <c r="S430" s="91"/>
      <c r="T430" s="91">
        <v>389610.16</v>
      </c>
      <c r="U430" s="91"/>
      <c r="V430" s="91">
        <v>0</v>
      </c>
      <c r="W430" s="91"/>
      <c r="X430" s="91">
        <v>4770000</v>
      </c>
      <c r="Y430" s="91"/>
      <c r="Z430" s="91">
        <f t="shared" si="55"/>
        <v>-4140107.17</v>
      </c>
      <c r="AA430" s="92">
        <v>-4137891.17</v>
      </c>
      <c r="AB430" s="92">
        <f t="shared" si="56"/>
        <v>-2216</v>
      </c>
    </row>
    <row r="431" spans="1:28" x14ac:dyDescent="0.2">
      <c r="A431" s="95">
        <v>38898</v>
      </c>
      <c r="B431" s="91">
        <v>-53952</v>
      </c>
      <c r="C431" s="91">
        <v>307182.38</v>
      </c>
      <c r="D431" s="91">
        <v>0</v>
      </c>
      <c r="E431" s="121">
        <f>B431-C431+D431</f>
        <v>-361134.38</v>
      </c>
      <c r="F431" s="91">
        <v>0</v>
      </c>
      <c r="G431" s="121">
        <f>E431-F431</f>
        <v>-361134.38</v>
      </c>
      <c r="H431" s="91">
        <v>3398186.61</v>
      </c>
      <c r="I431" s="91"/>
      <c r="J431" s="91">
        <f t="shared" si="57"/>
        <v>-8062.7599999999984</v>
      </c>
      <c r="K431" s="91">
        <f>17224.63+-20972.39</f>
        <v>-3747.7599999999984</v>
      </c>
      <c r="L431" s="103"/>
      <c r="M431" s="94">
        <v>-4315</v>
      </c>
      <c r="N431" s="103"/>
      <c r="O431" s="103"/>
      <c r="P431" s="91">
        <v>0</v>
      </c>
      <c r="Q431" s="90"/>
      <c r="R431" s="91">
        <v>-11464.98</v>
      </c>
      <c r="S431" s="90"/>
      <c r="T431" s="91">
        <v>426535.54</v>
      </c>
      <c r="U431" s="90"/>
      <c r="V431" s="91">
        <v>0</v>
      </c>
      <c r="W431" s="90"/>
      <c r="X431" s="91"/>
      <c r="Y431" s="91"/>
      <c r="Z431" s="91">
        <f t="shared" si="55"/>
        <v>-4166328.79</v>
      </c>
      <c r="AA431" s="92">
        <v>-4166328.79</v>
      </c>
      <c r="AB431" s="92">
        <f t="shared" si="56"/>
        <v>0</v>
      </c>
    </row>
    <row r="432" spans="1:28" x14ac:dyDescent="0.2">
      <c r="A432" s="95">
        <v>38990</v>
      </c>
      <c r="B432" s="91">
        <f>-102075+-26515</f>
        <v>-128590</v>
      </c>
      <c r="C432" s="91">
        <v>205922.94</v>
      </c>
      <c r="D432" s="91">
        <v>0</v>
      </c>
      <c r="E432" s="121">
        <f>B432-C432+D432</f>
        <v>-334512.94</v>
      </c>
      <c r="F432" s="91">
        <v>0</v>
      </c>
      <c r="G432" s="121">
        <f>E432-F432</f>
        <v>-334512.94</v>
      </c>
      <c r="H432" s="91">
        <v>3063454.74</v>
      </c>
      <c r="I432" s="91"/>
      <c r="J432" s="91">
        <f t="shared" si="57"/>
        <v>-27792.59</v>
      </c>
      <c r="K432" s="91">
        <f>-3220.06+-22475.53</f>
        <v>-25695.59</v>
      </c>
      <c r="L432" s="103"/>
      <c r="M432" s="94">
        <v>-2097</v>
      </c>
      <c r="N432" s="103"/>
      <c r="O432" s="103"/>
      <c r="P432" s="91">
        <v>0</v>
      </c>
      <c r="Q432" s="90"/>
      <c r="R432" s="91">
        <v>-10098.620000000001</v>
      </c>
      <c r="S432" s="90"/>
      <c r="T432" s="91">
        <v>372017.36</v>
      </c>
      <c r="U432" s="90"/>
      <c r="V432" s="91">
        <v>0</v>
      </c>
      <c r="W432" s="90"/>
      <c r="X432" s="91"/>
      <c r="Y432" s="91"/>
      <c r="Z432" s="91">
        <f t="shared" si="55"/>
        <v>-3732093.83</v>
      </c>
      <c r="AA432" s="92">
        <v>-3732093.83</v>
      </c>
      <c r="AB432" s="92">
        <f t="shared" si="56"/>
        <v>0</v>
      </c>
    </row>
    <row r="433" spans="1:28" x14ac:dyDescent="0.2">
      <c r="A433" s="95">
        <v>39082</v>
      </c>
      <c r="B433" s="91">
        <v>-173092</v>
      </c>
      <c r="C433" s="91">
        <v>-33669.42</v>
      </c>
      <c r="D433" s="91"/>
      <c r="E433" s="121"/>
      <c r="F433" s="91"/>
      <c r="G433" s="121">
        <f t="shared" ref="G433:G460" si="59">B433-C433</f>
        <v>-139422.58000000002</v>
      </c>
      <c r="H433" s="91">
        <v>2801472.24</v>
      </c>
      <c r="I433" s="91"/>
      <c r="J433" s="91">
        <f t="shared" si="57"/>
        <v>-29186.05</v>
      </c>
      <c r="K433" s="91">
        <f>6136.06-34368.11</f>
        <v>-28232.05</v>
      </c>
      <c r="L433" s="103"/>
      <c r="M433" s="94">
        <f>-414-540</f>
        <v>-954</v>
      </c>
      <c r="N433" s="103"/>
      <c r="O433" s="103"/>
      <c r="P433" s="91">
        <v>2823.54</v>
      </c>
      <c r="Q433" s="90"/>
      <c r="R433" s="91">
        <v>-8130.53</v>
      </c>
      <c r="S433" s="90"/>
      <c r="T433" s="91">
        <v>281154.08</v>
      </c>
      <c r="U433" s="90"/>
      <c r="V433" s="91">
        <v>0</v>
      </c>
      <c r="W433" s="90"/>
      <c r="X433" s="91"/>
      <c r="Y433" s="91"/>
      <c r="Z433" s="91">
        <f t="shared" ref="Z433:Z460" si="60">B433-C433-H433-J433-P433-R433-T433+V433</f>
        <v>-3187555.8600000008</v>
      </c>
      <c r="AA433" s="92">
        <v>-3187555.86</v>
      </c>
      <c r="AB433" s="92">
        <f t="shared" si="56"/>
        <v>0</v>
      </c>
    </row>
    <row r="434" spans="1:28" x14ac:dyDescent="0.2">
      <c r="A434" s="95">
        <v>39172</v>
      </c>
      <c r="B434" s="91">
        <v>-339601</v>
      </c>
      <c r="C434" s="91">
        <v>-42671.42</v>
      </c>
      <c r="D434" s="91"/>
      <c r="E434" s="121"/>
      <c r="F434" s="91"/>
      <c r="G434" s="121">
        <f t="shared" si="59"/>
        <v>-296929.58</v>
      </c>
      <c r="H434" s="91">
        <v>2145789.6</v>
      </c>
      <c r="I434" s="91"/>
      <c r="J434" s="91">
        <f t="shared" si="57"/>
        <v>-82453.87</v>
      </c>
      <c r="K434" s="91">
        <v>-81566.87</v>
      </c>
      <c r="L434" s="103"/>
      <c r="M434" s="94">
        <v>-887</v>
      </c>
      <c r="N434" s="103"/>
      <c r="O434" s="103"/>
      <c r="P434" s="91">
        <v>0</v>
      </c>
      <c r="Q434" s="90"/>
      <c r="R434" s="91">
        <v>-12698.84</v>
      </c>
      <c r="S434" s="90"/>
      <c r="T434" s="91">
        <v>227986.96</v>
      </c>
      <c r="U434" s="90"/>
      <c r="V434" s="91">
        <v>0</v>
      </c>
      <c r="W434" s="90"/>
      <c r="X434" s="91"/>
      <c r="Y434" s="91"/>
      <c r="Z434" s="91">
        <f t="shared" si="60"/>
        <v>-2575553.4300000002</v>
      </c>
      <c r="AA434" s="92">
        <v>-2575553.4300000002</v>
      </c>
      <c r="AB434" s="92">
        <f t="shared" si="56"/>
        <v>0</v>
      </c>
    </row>
    <row r="435" spans="1:28" x14ac:dyDescent="0.2">
      <c r="A435" s="95">
        <v>39263</v>
      </c>
      <c r="B435" s="91">
        <v>-85186</v>
      </c>
      <c r="C435" s="91">
        <v>-86982.48</v>
      </c>
      <c r="D435" s="91">
        <v>0</v>
      </c>
      <c r="E435" s="121">
        <f t="shared" ref="E435:E460" si="61">B435-C435+D435</f>
        <v>1796.4799999999959</v>
      </c>
      <c r="F435" s="91">
        <v>0</v>
      </c>
      <c r="G435" s="121">
        <f t="shared" si="59"/>
        <v>1796.4799999999959</v>
      </c>
      <c r="H435" s="91">
        <v>2551274.62</v>
      </c>
      <c r="I435" s="91"/>
      <c r="J435" s="91">
        <f t="shared" si="57"/>
        <v>-79.950000000000045</v>
      </c>
      <c r="K435" s="91">
        <v>728.05</v>
      </c>
      <c r="L435" s="103"/>
      <c r="M435" s="94">
        <v>-808</v>
      </c>
      <c r="N435" s="103"/>
      <c r="O435" s="103"/>
      <c r="P435" s="91">
        <v>3474.73</v>
      </c>
      <c r="Q435" s="90"/>
      <c r="R435" s="91">
        <v>106.2</v>
      </c>
      <c r="S435" s="90"/>
      <c r="T435" s="91">
        <v>204267.06</v>
      </c>
      <c r="U435" s="90"/>
      <c r="V435" s="91">
        <v>0</v>
      </c>
      <c r="W435" s="90"/>
      <c r="X435" s="91"/>
      <c r="Y435" s="91"/>
      <c r="Z435" s="91">
        <f t="shared" si="60"/>
        <v>-2757246.18</v>
      </c>
      <c r="AA435" s="92">
        <v>-2757246.18</v>
      </c>
      <c r="AB435" s="92">
        <f t="shared" si="56"/>
        <v>0</v>
      </c>
    </row>
    <row r="436" spans="1:28" x14ac:dyDescent="0.2">
      <c r="A436" s="95">
        <v>39355</v>
      </c>
      <c r="B436" s="91">
        <v>91753</v>
      </c>
      <c r="C436" s="91">
        <v>-57159.22</v>
      </c>
      <c r="D436" s="91"/>
      <c r="E436" s="121">
        <f t="shared" si="61"/>
        <v>148912.22</v>
      </c>
      <c r="F436" s="91"/>
      <c r="G436" s="121">
        <f t="shared" si="59"/>
        <v>148912.22</v>
      </c>
      <c r="H436" s="91">
        <v>1515097.16</v>
      </c>
      <c r="I436" s="91"/>
      <c r="J436" s="91">
        <f t="shared" si="57"/>
        <v>18762.79</v>
      </c>
      <c r="K436" s="91">
        <v>18760.79</v>
      </c>
      <c r="L436" s="103"/>
      <c r="M436" s="94">
        <v>2</v>
      </c>
      <c r="N436" s="103"/>
      <c r="O436" s="103"/>
      <c r="P436" s="91">
        <v>717.97</v>
      </c>
      <c r="Q436" s="90"/>
      <c r="R436" s="91">
        <v>4543.58</v>
      </c>
      <c r="S436" s="90"/>
      <c r="T436" s="91">
        <v>239852.55</v>
      </c>
      <c r="U436" s="90"/>
      <c r="V436" s="91">
        <v>0</v>
      </c>
      <c r="W436" s="90"/>
      <c r="X436" s="91"/>
      <c r="Y436" s="91"/>
      <c r="Z436" s="91">
        <f t="shared" si="60"/>
        <v>-1630061.83</v>
      </c>
      <c r="AA436" s="92">
        <v>-1630061.83</v>
      </c>
      <c r="AB436" s="92">
        <f t="shared" si="56"/>
        <v>0</v>
      </c>
    </row>
    <row r="437" spans="1:28" x14ac:dyDescent="0.2">
      <c r="A437" s="95">
        <v>39447</v>
      </c>
      <c r="B437" s="91">
        <v>-201860</v>
      </c>
      <c r="C437" s="91">
        <v>-23478.74</v>
      </c>
      <c r="D437" s="91">
        <v>0</v>
      </c>
      <c r="E437" s="121">
        <f t="shared" si="61"/>
        <v>-178381.26</v>
      </c>
      <c r="F437" s="91">
        <v>0</v>
      </c>
      <c r="G437" s="121">
        <f t="shared" si="59"/>
        <v>-178381.26</v>
      </c>
      <c r="H437" s="91">
        <v>1306711.01</v>
      </c>
      <c r="I437" s="91"/>
      <c r="J437" s="91">
        <f t="shared" si="57"/>
        <v>-52050.61</v>
      </c>
      <c r="K437" s="91">
        <v>-51783.73</v>
      </c>
      <c r="L437" s="103"/>
      <c r="M437" s="94">
        <v>-266.88</v>
      </c>
      <c r="N437" s="103"/>
      <c r="O437" s="103"/>
      <c r="P437" s="91">
        <v>2703.37</v>
      </c>
      <c r="Q437" s="90"/>
      <c r="R437" s="91">
        <v>-6316.33</v>
      </c>
      <c r="S437" s="90"/>
      <c r="T437" s="91">
        <v>146611.1</v>
      </c>
      <c r="U437" s="90"/>
      <c r="V437" s="91">
        <v>0</v>
      </c>
      <c r="W437" s="90"/>
      <c r="X437" s="91"/>
      <c r="Y437" s="91"/>
      <c r="Z437" s="91">
        <f t="shared" si="60"/>
        <v>-1576039.8</v>
      </c>
      <c r="AA437" s="92">
        <v>-1576039.8</v>
      </c>
      <c r="AB437" s="92">
        <f t="shared" si="56"/>
        <v>0</v>
      </c>
    </row>
    <row r="438" spans="1:28" x14ac:dyDescent="0.2">
      <c r="A438" s="95">
        <v>39538</v>
      </c>
      <c r="B438" s="91">
        <v>268945</v>
      </c>
      <c r="C438" s="91">
        <v>-28836.12</v>
      </c>
      <c r="D438" s="91">
        <v>0</v>
      </c>
      <c r="E438" s="121">
        <f t="shared" si="61"/>
        <v>297781.12</v>
      </c>
      <c r="F438" s="91">
        <v>0</v>
      </c>
      <c r="G438" s="121">
        <f t="shared" si="59"/>
        <v>297781.12</v>
      </c>
      <c r="H438" s="91">
        <v>1569480.18</v>
      </c>
      <c r="I438" s="91"/>
      <c r="J438" s="91">
        <f t="shared" si="57"/>
        <v>54442.82</v>
      </c>
      <c r="K438" s="91">
        <v>54418.82</v>
      </c>
      <c r="L438" s="103"/>
      <c r="M438" s="94">
        <v>24</v>
      </c>
      <c r="N438" s="103"/>
      <c r="O438" s="103"/>
      <c r="P438" s="91">
        <v>2692.79</v>
      </c>
      <c r="Q438" s="90"/>
      <c r="R438" s="91">
        <v>9656.11</v>
      </c>
      <c r="S438" s="90"/>
      <c r="T438" s="91">
        <v>112312.04</v>
      </c>
      <c r="U438" s="90"/>
      <c r="V438" s="91">
        <v>0</v>
      </c>
      <c r="W438" s="90"/>
      <c r="X438" s="91"/>
      <c r="Y438" s="91"/>
      <c r="Z438" s="91">
        <f t="shared" si="60"/>
        <v>-1450802.8200000003</v>
      </c>
      <c r="AA438" s="92">
        <v>-1450802.82</v>
      </c>
      <c r="AB438" s="92">
        <f t="shared" si="56"/>
        <v>0</v>
      </c>
    </row>
    <row r="439" spans="1:28" x14ac:dyDescent="0.2">
      <c r="A439" s="95">
        <v>39629</v>
      </c>
      <c r="B439" s="91">
        <v>25769</v>
      </c>
      <c r="C439" s="91">
        <v>111791.24</v>
      </c>
      <c r="D439" s="91">
        <v>0</v>
      </c>
      <c r="E439" s="121">
        <f t="shared" si="61"/>
        <v>-86022.24</v>
      </c>
      <c r="F439" s="91">
        <v>0</v>
      </c>
      <c r="G439" s="121">
        <f t="shared" si="59"/>
        <v>-86022.24</v>
      </c>
      <c r="H439" s="91">
        <v>894940.34</v>
      </c>
      <c r="I439" s="91"/>
      <c r="J439" s="91">
        <f t="shared" si="57"/>
        <v>4655.7300000000005</v>
      </c>
      <c r="K439" s="91">
        <f>261.74+1880.94+-479.59+3338.88+-91.24</f>
        <v>4910.7300000000005</v>
      </c>
      <c r="L439" s="103"/>
      <c r="M439" s="94">
        <f>-53+-132+-42+-28</f>
        <v>-255</v>
      </c>
      <c r="N439" s="103"/>
      <c r="O439" s="103"/>
      <c r="P439" s="91">
        <v>1562.41</v>
      </c>
      <c r="Q439" s="90"/>
      <c r="R439" s="91">
        <v>-881.41</v>
      </c>
      <c r="S439" s="90"/>
      <c r="T439" s="91">
        <v>109121.54</v>
      </c>
      <c r="U439" s="90"/>
      <c r="V439" s="91">
        <v>0</v>
      </c>
      <c r="W439" s="90"/>
      <c r="X439" s="91"/>
      <c r="Y439" s="91"/>
      <c r="Z439" s="91">
        <f t="shared" si="60"/>
        <v>-1095420.8499999999</v>
      </c>
      <c r="AA439" s="92">
        <v>-1095420.8500000001</v>
      </c>
      <c r="AB439" s="92">
        <f t="shared" si="56"/>
        <v>0</v>
      </c>
    </row>
    <row r="440" spans="1:28" x14ac:dyDescent="0.2">
      <c r="A440" s="95">
        <v>39721</v>
      </c>
      <c r="B440" s="91">
        <v>-11518</v>
      </c>
      <c r="C440" s="91">
        <v>15064.25</v>
      </c>
      <c r="D440" s="91">
        <v>0</v>
      </c>
      <c r="E440" s="121">
        <f t="shared" si="61"/>
        <v>-26582.25</v>
      </c>
      <c r="F440" s="91">
        <v>0</v>
      </c>
      <c r="G440" s="121">
        <f t="shared" si="59"/>
        <v>-26582.25</v>
      </c>
      <c r="H440" s="91">
        <v>1176765.3600000001</v>
      </c>
      <c r="I440" s="91"/>
      <c r="J440" s="91">
        <v>-2278.67</v>
      </c>
      <c r="K440" s="91">
        <v>-2146.67</v>
      </c>
      <c r="L440" s="103"/>
      <c r="M440" s="94">
        <v>-132</v>
      </c>
      <c r="N440" s="103"/>
      <c r="O440" s="103"/>
      <c r="P440" s="91">
        <v>1651.85</v>
      </c>
      <c r="Q440" s="90"/>
      <c r="R440" s="91">
        <v>-845.18</v>
      </c>
      <c r="S440" s="90"/>
      <c r="T440" s="91">
        <v>136297.32</v>
      </c>
      <c r="U440" s="90"/>
      <c r="V440" s="91">
        <v>0</v>
      </c>
      <c r="W440" s="90"/>
      <c r="X440" s="91"/>
      <c r="Y440" s="91"/>
      <c r="Z440" s="91">
        <f t="shared" si="60"/>
        <v>-1338172.9300000004</v>
      </c>
      <c r="AA440" s="92">
        <v>-1338172.93</v>
      </c>
      <c r="AB440" s="92">
        <f t="shared" si="56"/>
        <v>0</v>
      </c>
    </row>
    <row r="441" spans="1:28" x14ac:dyDescent="0.2">
      <c r="A441" s="95">
        <v>39813</v>
      </c>
      <c r="B441" s="91">
        <v>11590</v>
      </c>
      <c r="C441" s="91">
        <v>-12306.54</v>
      </c>
      <c r="D441" s="91">
        <v>0</v>
      </c>
      <c r="E441" s="121">
        <f t="shared" si="61"/>
        <v>23896.54</v>
      </c>
      <c r="F441" s="91">
        <v>0</v>
      </c>
      <c r="G441" s="121">
        <f t="shared" si="59"/>
        <v>23896.54</v>
      </c>
      <c r="H441" s="91">
        <v>1109606.05</v>
      </c>
      <c r="I441" s="91"/>
      <c r="J441" s="91">
        <v>1554.72</v>
      </c>
      <c r="K441" s="91">
        <v>2271.7199999999998</v>
      </c>
      <c r="L441" s="103"/>
      <c r="M441" s="94">
        <v>-717</v>
      </c>
      <c r="N441" s="103"/>
      <c r="O441" s="103"/>
      <c r="P441" s="91">
        <v>-21.72</v>
      </c>
      <c r="Q441" s="90"/>
      <c r="R441" s="91">
        <v>578.77</v>
      </c>
      <c r="S441" s="90"/>
      <c r="T441" s="91">
        <v>97382.6</v>
      </c>
      <c r="U441" s="90"/>
      <c r="V441" s="91">
        <v>0</v>
      </c>
      <c r="W441" s="90"/>
      <c r="X441" s="91"/>
      <c r="Y441" s="91"/>
      <c r="Z441" s="91">
        <f t="shared" si="60"/>
        <v>-1185203.8800000001</v>
      </c>
      <c r="AA441" s="92">
        <v>-1185203.8799999999</v>
      </c>
      <c r="AB441" s="92">
        <f t="shared" si="56"/>
        <v>0</v>
      </c>
    </row>
    <row r="442" spans="1:28" x14ac:dyDescent="0.2">
      <c r="A442" s="95">
        <v>39903</v>
      </c>
      <c r="B442" s="91">
        <v>-3824</v>
      </c>
      <c r="C442" s="91">
        <v>9577.27</v>
      </c>
      <c r="D442" s="91">
        <v>0</v>
      </c>
      <c r="E442" s="121">
        <f t="shared" si="61"/>
        <v>-13401.27</v>
      </c>
      <c r="F442" s="91">
        <v>0</v>
      </c>
      <c r="G442" s="121">
        <f t="shared" si="59"/>
        <v>-13401.27</v>
      </c>
      <c r="H442" s="91">
        <v>1087424.08</v>
      </c>
      <c r="I442" s="91"/>
      <c r="J442" s="91">
        <v>-1027.75</v>
      </c>
      <c r="K442" s="91">
        <v>-684.75</v>
      </c>
      <c r="L442" s="103"/>
      <c r="M442" s="94">
        <v>-343</v>
      </c>
      <c r="N442" s="103"/>
      <c r="O442" s="103"/>
      <c r="P442" s="91">
        <v>772.55</v>
      </c>
      <c r="Q442" s="90"/>
      <c r="R442" s="91">
        <v>-1366.86</v>
      </c>
      <c r="S442" s="90"/>
      <c r="T442" s="91">
        <v>78629.31</v>
      </c>
      <c r="U442" s="90"/>
      <c r="V442" s="91">
        <v>0</v>
      </c>
      <c r="W442" s="90"/>
      <c r="X442" s="91"/>
      <c r="Y442" s="91"/>
      <c r="Z442" s="91">
        <f t="shared" si="60"/>
        <v>-1177832.6000000001</v>
      </c>
      <c r="AA442" s="92">
        <v>-1177832.6000000001</v>
      </c>
      <c r="AB442" s="92">
        <f t="shared" si="56"/>
        <v>0</v>
      </c>
    </row>
    <row r="443" spans="1:28" x14ac:dyDescent="0.2">
      <c r="A443" s="95">
        <v>39994</v>
      </c>
      <c r="B443" s="91">
        <v>-3681</v>
      </c>
      <c r="C443" s="91">
        <v>-11442.73</v>
      </c>
      <c r="D443" s="91">
        <v>0</v>
      </c>
      <c r="E443" s="121">
        <f t="shared" si="61"/>
        <v>7761.73</v>
      </c>
      <c r="F443" s="91">
        <v>0</v>
      </c>
      <c r="G443" s="121">
        <f t="shared" si="59"/>
        <v>7761.73</v>
      </c>
      <c r="H443" s="91">
        <v>520841.04</v>
      </c>
      <c r="I443" s="91"/>
      <c r="J443" s="91">
        <v>260.12</v>
      </c>
      <c r="K443" s="91">
        <v>260.12</v>
      </c>
      <c r="L443" s="103"/>
      <c r="M443" s="94">
        <v>0</v>
      </c>
      <c r="N443" s="103"/>
      <c r="O443" s="103"/>
      <c r="P443" s="91">
        <v>100.19</v>
      </c>
      <c r="Q443" s="90"/>
      <c r="R443" s="91">
        <v>698.72</v>
      </c>
      <c r="S443" s="90"/>
      <c r="T443" s="91">
        <v>59457.37</v>
      </c>
      <c r="U443" s="90"/>
      <c r="V443" s="91">
        <v>0</v>
      </c>
      <c r="W443" s="90"/>
      <c r="X443" s="91"/>
      <c r="Y443" s="91"/>
      <c r="Z443" s="91">
        <f t="shared" si="60"/>
        <v>-573595.71</v>
      </c>
      <c r="AA443" s="92">
        <v>-573595.71</v>
      </c>
      <c r="AB443" s="92">
        <f t="shared" si="56"/>
        <v>0</v>
      </c>
    </row>
    <row r="444" spans="1:28" x14ac:dyDescent="0.2">
      <c r="A444" s="95">
        <v>40086</v>
      </c>
      <c r="B444" s="91">
        <v>1591</v>
      </c>
      <c r="C444" s="91">
        <v>77054.070000000007</v>
      </c>
      <c r="D444" s="91">
        <v>0</v>
      </c>
      <c r="E444" s="121">
        <f t="shared" si="61"/>
        <v>-75463.070000000007</v>
      </c>
      <c r="F444" s="91">
        <v>0</v>
      </c>
      <c r="G444" s="121">
        <f t="shared" si="59"/>
        <v>-75463.070000000007</v>
      </c>
      <c r="H444" s="91">
        <v>399740.53</v>
      </c>
      <c r="I444" s="91"/>
      <c r="J444" s="91">
        <v>250.51</v>
      </c>
      <c r="K444" s="91">
        <v>382.51</v>
      </c>
      <c r="L444" s="103"/>
      <c r="M444" s="94">
        <v>-132</v>
      </c>
      <c r="N444" s="103"/>
      <c r="O444" s="103"/>
      <c r="P444" s="91">
        <v>132.12</v>
      </c>
      <c r="Q444" s="90"/>
      <c r="R444" s="91">
        <v>81.38</v>
      </c>
      <c r="S444" s="90"/>
      <c r="T444" s="91">
        <v>42119.91</v>
      </c>
      <c r="U444" s="90"/>
      <c r="V444" s="91">
        <v>0</v>
      </c>
      <c r="W444" s="90"/>
      <c r="X444" s="91"/>
      <c r="Y444" s="91"/>
      <c r="Z444" s="91">
        <f t="shared" si="60"/>
        <v>-517787.52</v>
      </c>
      <c r="AA444" s="92">
        <v>-517787.52</v>
      </c>
      <c r="AB444" s="92">
        <f t="shared" si="56"/>
        <v>0</v>
      </c>
    </row>
    <row r="445" spans="1:28" x14ac:dyDescent="0.2">
      <c r="A445" s="95">
        <v>40178</v>
      </c>
      <c r="B445" s="91">
        <v>202332</v>
      </c>
      <c r="C445" s="91">
        <v>267771.78999999998</v>
      </c>
      <c r="D445" s="91">
        <v>0</v>
      </c>
      <c r="E445" s="121">
        <f t="shared" si="61"/>
        <v>-65439.789999999979</v>
      </c>
      <c r="F445" s="91">
        <v>0</v>
      </c>
      <c r="G445" s="121">
        <f t="shared" si="59"/>
        <v>-65439.789999999979</v>
      </c>
      <c r="H445" s="91">
        <v>161764.04</v>
      </c>
      <c r="I445" s="91"/>
      <c r="J445" s="91">
        <v>41589.46</v>
      </c>
      <c r="K445" s="91">
        <v>41532.46</v>
      </c>
      <c r="L445" s="103"/>
      <c r="M445" s="94">
        <v>57</v>
      </c>
      <c r="N445" s="103"/>
      <c r="O445" s="103"/>
      <c r="P445" s="91">
        <v>11.79</v>
      </c>
      <c r="Q445" s="90"/>
      <c r="R445" s="91">
        <v>10962.91</v>
      </c>
      <c r="S445" s="90"/>
      <c r="T445" s="91">
        <v>39202.65</v>
      </c>
      <c r="U445" s="90"/>
      <c r="V445" s="91">
        <v>0</v>
      </c>
      <c r="W445" s="90"/>
      <c r="X445" s="91"/>
      <c r="Y445" s="91"/>
      <c r="Z445" s="91">
        <f t="shared" si="60"/>
        <v>-318970.63999999996</v>
      </c>
      <c r="AA445" s="92">
        <v>-318970.64</v>
      </c>
      <c r="AB445" s="92">
        <f t="shared" si="56"/>
        <v>0</v>
      </c>
    </row>
    <row r="446" spans="1:28" x14ac:dyDescent="0.2">
      <c r="A446" s="140">
        <v>40268</v>
      </c>
      <c r="B446" s="91">
        <v>-28430</v>
      </c>
      <c r="C446" s="91">
        <v>788.46</v>
      </c>
      <c r="D446" s="91">
        <v>0</v>
      </c>
      <c r="E446" s="121">
        <f t="shared" si="61"/>
        <v>-29218.46</v>
      </c>
      <c r="F446" s="91">
        <v>0</v>
      </c>
      <c r="G446" s="121">
        <f t="shared" si="59"/>
        <v>-29218.46</v>
      </c>
      <c r="H446" s="91">
        <v>491290.33</v>
      </c>
      <c r="I446" s="91"/>
      <c r="J446" s="91">
        <v>-5425.62</v>
      </c>
      <c r="K446" s="91">
        <v>-5381.62</v>
      </c>
      <c r="L446" s="103"/>
      <c r="M446" s="94">
        <v>-44</v>
      </c>
      <c r="N446" s="103"/>
      <c r="O446" s="103"/>
      <c r="P446" s="91">
        <v>73.47</v>
      </c>
      <c r="Q446" s="90"/>
      <c r="R446" s="91">
        <v>-7960.04</v>
      </c>
      <c r="S446" s="90"/>
      <c r="T446" s="91">
        <v>56767.23</v>
      </c>
      <c r="U446" s="90"/>
      <c r="V446" s="91">
        <v>0</v>
      </c>
      <c r="W446" s="90"/>
      <c r="X446" s="91"/>
      <c r="Y446" s="91"/>
      <c r="Z446" s="91">
        <f t="shared" si="60"/>
        <v>-563963.83000000007</v>
      </c>
      <c r="AA446" s="92">
        <v>-563963.82999999996</v>
      </c>
      <c r="AB446" s="92">
        <f t="shared" si="56"/>
        <v>0</v>
      </c>
    </row>
    <row r="447" spans="1:28" x14ac:dyDescent="0.2">
      <c r="A447" s="95">
        <v>40359</v>
      </c>
      <c r="B447" s="91">
        <v>-328</v>
      </c>
      <c r="C447" s="91">
        <v>-47099.92</v>
      </c>
      <c r="D447" s="91">
        <v>0</v>
      </c>
      <c r="E447" s="121">
        <f t="shared" si="61"/>
        <v>46771.92</v>
      </c>
      <c r="F447" s="91">
        <v>0</v>
      </c>
      <c r="G447" s="121">
        <f t="shared" si="59"/>
        <v>46771.92</v>
      </c>
      <c r="H447" s="91">
        <v>99618.07</v>
      </c>
      <c r="I447" s="91"/>
      <c r="J447" s="91">
        <v>-61.67</v>
      </c>
      <c r="K447" s="91">
        <v>-61.67</v>
      </c>
      <c r="L447" s="103"/>
      <c r="M447" s="94"/>
      <c r="N447" s="103"/>
      <c r="O447" s="103"/>
      <c r="P447" s="91">
        <v>-0.22</v>
      </c>
      <c r="Q447" s="90"/>
      <c r="R447" s="91">
        <v>1057.6300000000001</v>
      </c>
      <c r="S447" s="90"/>
      <c r="T447" s="91">
        <v>31778.27</v>
      </c>
      <c r="U447" s="90"/>
      <c r="V447" s="91">
        <v>0</v>
      </c>
      <c r="W447" s="90"/>
      <c r="X447" s="91"/>
      <c r="Y447" s="91"/>
      <c r="Z447" s="91">
        <f t="shared" si="60"/>
        <v>-85620.160000000003</v>
      </c>
      <c r="AA447" s="92">
        <v>-85620.160000000003</v>
      </c>
      <c r="AB447" s="92">
        <f t="shared" si="56"/>
        <v>0</v>
      </c>
    </row>
    <row r="448" spans="1:28" x14ac:dyDescent="0.2">
      <c r="A448" s="140">
        <v>40451</v>
      </c>
      <c r="B448" s="91">
        <v>113884</v>
      </c>
      <c r="C448" s="91">
        <v>-9528.5</v>
      </c>
      <c r="D448" s="91">
        <v>0</v>
      </c>
      <c r="E448" s="121">
        <f t="shared" si="61"/>
        <v>123412.5</v>
      </c>
      <c r="F448" s="91">
        <v>0</v>
      </c>
      <c r="G448" s="121">
        <f t="shared" si="59"/>
        <v>123412.5</v>
      </c>
      <c r="H448" s="91">
        <v>-105046.68</v>
      </c>
      <c r="I448" s="91"/>
      <c r="J448" s="91">
        <v>25103.53</v>
      </c>
      <c r="K448" s="91">
        <v>25235.53</v>
      </c>
      <c r="L448" s="103"/>
      <c r="M448" s="94">
        <v>-132</v>
      </c>
      <c r="N448" s="103"/>
      <c r="O448" s="103">
        <v>0</v>
      </c>
      <c r="P448" s="91">
        <v>-7.03</v>
      </c>
      <c r="Q448" s="90"/>
      <c r="R448" s="91">
        <v>4663.87</v>
      </c>
      <c r="S448" s="90"/>
      <c r="T448" s="91">
        <v>32417.1</v>
      </c>
      <c r="U448" s="90"/>
      <c r="V448" s="91">
        <v>0</v>
      </c>
      <c r="W448" s="90"/>
      <c r="X448" s="91"/>
      <c r="Y448" s="91"/>
      <c r="Z448" s="91">
        <f t="shared" si="60"/>
        <v>166281.71</v>
      </c>
      <c r="AA448" s="92">
        <v>166281.71</v>
      </c>
      <c r="AB448" s="92">
        <f t="shared" si="56"/>
        <v>0</v>
      </c>
    </row>
    <row r="449" spans="1:28" x14ac:dyDescent="0.2">
      <c r="A449" s="140">
        <v>40543</v>
      </c>
      <c r="B449" s="91">
        <v>-421</v>
      </c>
      <c r="C449" s="91">
        <v>116314.97</v>
      </c>
      <c r="D449" s="91">
        <v>0</v>
      </c>
      <c r="E449" s="121">
        <f t="shared" si="61"/>
        <v>-116735.97</v>
      </c>
      <c r="F449" s="91">
        <v>0</v>
      </c>
      <c r="G449" s="121">
        <f t="shared" si="59"/>
        <v>-116735.97</v>
      </c>
      <c r="H449" s="91">
        <v>6701.32</v>
      </c>
      <c r="I449" s="91"/>
      <c r="J449" s="91">
        <v>-92.46</v>
      </c>
      <c r="K449" s="91">
        <v>-93.46</v>
      </c>
      <c r="L449" s="103"/>
      <c r="M449" s="94">
        <v>0</v>
      </c>
      <c r="N449" s="103"/>
      <c r="O449" s="103">
        <v>0</v>
      </c>
      <c r="P449" s="91">
        <v>3.03</v>
      </c>
      <c r="Q449" s="90"/>
      <c r="R449" s="91">
        <v>-1740.9</v>
      </c>
      <c r="S449" s="90"/>
      <c r="T449" s="91">
        <v>31118.55</v>
      </c>
      <c r="U449" s="90"/>
      <c r="V449" s="91">
        <v>0</v>
      </c>
      <c r="W449" s="90"/>
      <c r="X449" s="91"/>
      <c r="Y449" s="91"/>
      <c r="Z449" s="91">
        <f t="shared" si="60"/>
        <v>-152725.51</v>
      </c>
      <c r="AA449" s="92">
        <v>-152725.51</v>
      </c>
      <c r="AB449" s="92">
        <f t="shared" si="56"/>
        <v>0</v>
      </c>
    </row>
    <row r="450" spans="1:28" x14ac:dyDescent="0.2">
      <c r="A450" s="288">
        <v>40633</v>
      </c>
      <c r="B450" s="91">
        <v>-760</v>
      </c>
      <c r="C450" s="91">
        <v>-555.67999999999995</v>
      </c>
      <c r="D450" s="91">
        <v>0</v>
      </c>
      <c r="E450" s="121">
        <f t="shared" si="61"/>
        <v>-204.32000000000005</v>
      </c>
      <c r="F450" s="91">
        <v>0</v>
      </c>
      <c r="G450" s="121">
        <f t="shared" si="59"/>
        <v>-204.32000000000005</v>
      </c>
      <c r="H450" s="91">
        <v>273270.84999999998</v>
      </c>
      <c r="I450" s="91"/>
      <c r="J450" s="91">
        <v>-271.42</v>
      </c>
      <c r="K450" s="91">
        <v>-139.41999999999999</v>
      </c>
      <c r="L450" s="103"/>
      <c r="M450" s="94">
        <v>-132</v>
      </c>
      <c r="N450" s="103"/>
      <c r="O450" s="103">
        <v>0</v>
      </c>
      <c r="P450" s="91">
        <v>-1.03</v>
      </c>
      <c r="Q450" s="90"/>
      <c r="R450" s="91">
        <v>-669.43</v>
      </c>
      <c r="S450" s="90"/>
      <c r="T450" s="91">
        <v>23592.31</v>
      </c>
      <c r="U450" s="90"/>
      <c r="V450" s="91">
        <v>0</v>
      </c>
      <c r="W450" s="90"/>
      <c r="X450" s="91"/>
      <c r="Y450" s="91"/>
      <c r="Z450" s="91">
        <f t="shared" si="60"/>
        <v>-296125.59999999998</v>
      </c>
      <c r="AA450" s="92">
        <v>-296125.59999999998</v>
      </c>
      <c r="AB450" s="92">
        <f t="shared" si="56"/>
        <v>0</v>
      </c>
    </row>
    <row r="451" spans="1:28" x14ac:dyDescent="0.2">
      <c r="A451" s="288">
        <v>40724</v>
      </c>
      <c r="B451" s="91">
        <v>11382</v>
      </c>
      <c r="C451" s="91">
        <v>10455.82</v>
      </c>
      <c r="D451" s="91">
        <v>0</v>
      </c>
      <c r="E451" s="121">
        <f t="shared" si="61"/>
        <v>926.18000000000029</v>
      </c>
      <c r="F451" s="91">
        <v>0</v>
      </c>
      <c r="G451" s="121">
        <f t="shared" si="59"/>
        <v>926.18000000000029</v>
      </c>
      <c r="H451" s="91">
        <v>77432.94</v>
      </c>
      <c r="I451" s="91"/>
      <c r="J451" s="91">
        <v>2599.09</v>
      </c>
      <c r="K451" s="91">
        <v>2467.09</v>
      </c>
      <c r="L451" s="103"/>
      <c r="M451" s="94">
        <v>132</v>
      </c>
      <c r="N451" s="103"/>
      <c r="O451" s="103"/>
      <c r="P451" s="91">
        <v>4.05</v>
      </c>
      <c r="Q451" s="90"/>
      <c r="R451" s="91">
        <v>6.17</v>
      </c>
      <c r="S451" s="90"/>
      <c r="T451" s="91">
        <v>11904.45</v>
      </c>
      <c r="U451" s="90"/>
      <c r="V451" s="91">
        <v>0</v>
      </c>
      <c r="W451" s="90"/>
      <c r="X451" s="91"/>
      <c r="Y451" s="91"/>
      <c r="Z451" s="91">
        <f t="shared" si="60"/>
        <v>-91020.52</v>
      </c>
      <c r="AA451" s="92">
        <v>-91020.52</v>
      </c>
      <c r="AB451" s="92">
        <f t="shared" si="56"/>
        <v>0</v>
      </c>
    </row>
    <row r="452" spans="1:28" x14ac:dyDescent="0.2">
      <c r="A452" s="288">
        <v>40816</v>
      </c>
      <c r="B452" s="91">
        <v>0</v>
      </c>
      <c r="C452" s="91">
        <v>-7599.36</v>
      </c>
      <c r="D452" s="91">
        <v>0</v>
      </c>
      <c r="E452" s="121">
        <f t="shared" si="61"/>
        <v>7599.36</v>
      </c>
      <c r="F452" s="91">
        <v>0</v>
      </c>
      <c r="G452" s="121">
        <f t="shared" si="59"/>
        <v>7599.36</v>
      </c>
      <c r="H452" s="91">
        <v>341838.14</v>
      </c>
      <c r="I452" s="91"/>
      <c r="J452" s="91">
        <v>0</v>
      </c>
      <c r="K452" s="91">
        <v>0</v>
      </c>
      <c r="L452" s="103"/>
      <c r="M452" s="94">
        <v>0</v>
      </c>
      <c r="N452" s="103"/>
      <c r="O452" s="103"/>
      <c r="P452" s="91">
        <v>9.0500000000000007</v>
      </c>
      <c r="Q452" s="90"/>
      <c r="R452" s="91">
        <v>356.23</v>
      </c>
      <c r="S452" s="90"/>
      <c r="T452" s="91">
        <v>2321.81</v>
      </c>
      <c r="U452" s="90"/>
      <c r="V452" s="91">
        <v>0</v>
      </c>
      <c r="W452" s="90"/>
      <c r="X452" s="91"/>
      <c r="Y452" s="91"/>
      <c r="Z452" s="91">
        <f t="shared" si="60"/>
        <v>-336925.87</v>
      </c>
      <c r="AA452" s="92">
        <v>-336925.87</v>
      </c>
      <c r="AB452" s="92">
        <f t="shared" si="56"/>
        <v>0</v>
      </c>
    </row>
    <row r="453" spans="1:28" x14ac:dyDescent="0.2">
      <c r="A453" s="288">
        <v>40908</v>
      </c>
      <c r="B453" s="91">
        <v>-1262</v>
      </c>
      <c r="C453" s="91">
        <v>-3179.57</v>
      </c>
      <c r="D453" s="91">
        <v>0</v>
      </c>
      <c r="E453" s="121">
        <f t="shared" si="61"/>
        <v>1917.5700000000002</v>
      </c>
      <c r="F453" s="91">
        <v>0</v>
      </c>
      <c r="G453" s="121">
        <f t="shared" si="59"/>
        <v>1917.5700000000002</v>
      </c>
      <c r="H453" s="91">
        <v>-96665.39</v>
      </c>
      <c r="I453" s="91"/>
      <c r="J453" s="91">
        <v>-380.53</v>
      </c>
      <c r="K453" s="91">
        <v>-251.53</v>
      </c>
      <c r="L453" s="103"/>
      <c r="M453" s="94">
        <v>-129</v>
      </c>
      <c r="N453" s="103"/>
      <c r="O453" s="103">
        <v>0</v>
      </c>
      <c r="P453" s="91">
        <v>4.67</v>
      </c>
      <c r="Q453" s="90"/>
      <c r="R453" s="91">
        <v>108.79</v>
      </c>
      <c r="S453" s="90"/>
      <c r="T453" s="91">
        <v>-24971.73</v>
      </c>
      <c r="U453" s="90"/>
      <c r="V453" s="91">
        <v>0</v>
      </c>
      <c r="W453" s="90"/>
      <c r="X453" s="91"/>
      <c r="Y453" s="91"/>
      <c r="Z453" s="91">
        <f t="shared" si="60"/>
        <v>123821.76000000001</v>
      </c>
      <c r="AA453" s="92">
        <v>123821.75999999999</v>
      </c>
      <c r="AB453" s="92">
        <f t="shared" si="56"/>
        <v>0</v>
      </c>
    </row>
    <row r="454" spans="1:28" x14ac:dyDescent="0.2">
      <c r="A454" s="288">
        <v>40999</v>
      </c>
      <c r="B454" s="91">
        <v>2935</v>
      </c>
      <c r="C454" s="91">
        <v>103.94</v>
      </c>
      <c r="D454" s="91">
        <v>0</v>
      </c>
      <c r="E454" s="121">
        <f t="shared" si="61"/>
        <v>2831.06</v>
      </c>
      <c r="F454" s="91">
        <v>0</v>
      </c>
      <c r="G454" s="121">
        <f t="shared" si="59"/>
        <v>2831.06</v>
      </c>
      <c r="H454" s="91">
        <v>231582.79</v>
      </c>
      <c r="I454" s="91"/>
      <c r="J454" s="91">
        <v>638.91999999999996</v>
      </c>
      <c r="K454" s="91">
        <v>638.91999999999996</v>
      </c>
      <c r="L454" s="103"/>
      <c r="M454" s="94">
        <v>0</v>
      </c>
      <c r="N454" s="103"/>
      <c r="O454" s="103">
        <v>0</v>
      </c>
      <c r="P454" s="91">
        <v>0</v>
      </c>
      <c r="Q454" s="90"/>
      <c r="R454" s="91">
        <v>44.85</v>
      </c>
      <c r="S454" s="90"/>
      <c r="T454" s="91">
        <v>17036.96</v>
      </c>
      <c r="U454" s="90"/>
      <c r="V454" s="91">
        <v>0</v>
      </c>
      <c r="W454" s="90"/>
      <c r="X454" s="91"/>
      <c r="Y454" s="91"/>
      <c r="Z454" s="91">
        <f t="shared" si="60"/>
        <v>-246472.46000000002</v>
      </c>
      <c r="AA454" s="92">
        <v>-246472.46</v>
      </c>
      <c r="AB454" s="92">
        <f t="shared" si="56"/>
        <v>0</v>
      </c>
    </row>
    <row r="455" spans="1:28" x14ac:dyDescent="0.2">
      <c r="A455" s="288">
        <v>41090</v>
      </c>
      <c r="B455" s="91">
        <v>0</v>
      </c>
      <c r="C455" s="91">
        <v>-1580.42</v>
      </c>
      <c r="D455" s="91">
        <v>0</v>
      </c>
      <c r="E455" s="121">
        <f t="shared" si="61"/>
        <v>1580.42</v>
      </c>
      <c r="F455" s="91">
        <v>0</v>
      </c>
      <c r="G455" s="121">
        <f t="shared" si="59"/>
        <v>1580.42</v>
      </c>
      <c r="H455" s="91">
        <v>172408.54</v>
      </c>
      <c r="I455" s="91"/>
      <c r="J455" s="91">
        <v>0</v>
      </c>
      <c r="K455" s="91">
        <v>0</v>
      </c>
      <c r="L455" s="103"/>
      <c r="M455" s="94">
        <v>0</v>
      </c>
      <c r="N455" s="103"/>
      <c r="O455" s="103">
        <v>0</v>
      </c>
      <c r="P455" s="91">
        <v>0</v>
      </c>
      <c r="Q455" s="90"/>
      <c r="R455" s="91">
        <v>9.4700000000000006</v>
      </c>
      <c r="S455" s="90"/>
      <c r="T455" s="91">
        <v>22339.1</v>
      </c>
      <c r="U455" s="90"/>
      <c r="V455" s="91">
        <v>0</v>
      </c>
      <c r="W455" s="90"/>
      <c r="X455" s="91"/>
      <c r="Y455" s="91"/>
      <c r="Z455" s="91">
        <f t="shared" si="60"/>
        <v>-193176.69</v>
      </c>
      <c r="AA455" s="92">
        <v>-193176.69</v>
      </c>
      <c r="AB455" s="92">
        <f t="shared" si="56"/>
        <v>0</v>
      </c>
    </row>
    <row r="456" spans="1:28" x14ac:dyDescent="0.2">
      <c r="A456" s="288">
        <v>41182</v>
      </c>
      <c r="B456" s="91">
        <v>2186</v>
      </c>
      <c r="C456" s="91">
        <v>-15002.52</v>
      </c>
      <c r="D456" s="91">
        <v>0</v>
      </c>
      <c r="E456" s="121">
        <f t="shared" si="61"/>
        <v>17188.52</v>
      </c>
      <c r="F456" s="91">
        <v>0</v>
      </c>
      <c r="G456" s="121">
        <f t="shared" si="59"/>
        <v>17188.52</v>
      </c>
      <c r="H456" s="91">
        <v>36905.46</v>
      </c>
      <c r="I456" s="91"/>
      <c r="J456" s="91">
        <v>485.29</v>
      </c>
      <c r="K456" s="91">
        <v>485.29</v>
      </c>
      <c r="L456" s="103"/>
      <c r="M456" s="94">
        <v>0</v>
      </c>
      <c r="N456" s="103"/>
      <c r="O456" s="103">
        <v>0</v>
      </c>
      <c r="P456" s="91">
        <v>0</v>
      </c>
      <c r="Q456" s="90"/>
      <c r="R456" s="91">
        <v>975.79</v>
      </c>
      <c r="S456" s="90"/>
      <c r="T456" s="91">
        <v>13589.45</v>
      </c>
      <c r="U456" s="90"/>
      <c r="V456" s="91">
        <v>0</v>
      </c>
      <c r="W456" s="90"/>
      <c r="X456" s="91"/>
      <c r="Y456" s="91"/>
      <c r="Z456" s="91">
        <f t="shared" si="60"/>
        <v>-34767.47</v>
      </c>
      <c r="AA456" s="92">
        <v>-34767.47</v>
      </c>
      <c r="AB456" s="92">
        <f t="shared" si="56"/>
        <v>0</v>
      </c>
    </row>
    <row r="457" spans="1:28" x14ac:dyDescent="0.2">
      <c r="A457" s="288">
        <v>41274</v>
      </c>
      <c r="B457" s="91">
        <v>-4250</v>
      </c>
      <c r="C457" s="91">
        <v>-385.94</v>
      </c>
      <c r="D457" s="91">
        <v>0</v>
      </c>
      <c r="E457" s="121">
        <f t="shared" si="61"/>
        <v>-3864.06</v>
      </c>
      <c r="F457" s="91">
        <v>0</v>
      </c>
      <c r="G457" s="121">
        <f t="shared" si="59"/>
        <v>-3864.06</v>
      </c>
      <c r="H457" s="91">
        <v>65433.88</v>
      </c>
      <c r="I457" s="91"/>
      <c r="J457" s="91">
        <v>-1086.9100000000001</v>
      </c>
      <c r="K457" s="91">
        <v>-611.61</v>
      </c>
      <c r="L457" s="103"/>
      <c r="M457" s="94">
        <v>-224</v>
      </c>
      <c r="N457" s="103"/>
      <c r="O457" s="103">
        <v>0</v>
      </c>
      <c r="P457" s="91">
        <v>0</v>
      </c>
      <c r="Q457" s="90"/>
      <c r="R457" s="91">
        <v>-154.38999999999999</v>
      </c>
      <c r="S457" s="90"/>
      <c r="T457" s="91">
        <v>14405.36</v>
      </c>
      <c r="U457" s="90"/>
      <c r="V457" s="91">
        <v>0</v>
      </c>
      <c r="W457" s="90"/>
      <c r="X457" s="91"/>
      <c r="Y457" s="91"/>
      <c r="Z457" s="91">
        <f t="shared" si="60"/>
        <v>-82462</v>
      </c>
      <c r="AA457" s="92">
        <v>-82462</v>
      </c>
      <c r="AB457" s="92">
        <f t="shared" si="56"/>
        <v>0</v>
      </c>
    </row>
    <row r="458" spans="1:28" x14ac:dyDescent="0.2">
      <c r="A458" s="288">
        <v>41364</v>
      </c>
      <c r="B458" s="91">
        <v>0</v>
      </c>
      <c r="C458" s="91">
        <v>-5355</v>
      </c>
      <c r="D458" s="91">
        <v>0</v>
      </c>
      <c r="E458" s="121">
        <f t="shared" si="61"/>
        <v>5355</v>
      </c>
      <c r="F458" s="91">
        <v>0</v>
      </c>
      <c r="G458" s="121">
        <f t="shared" si="59"/>
        <v>5355</v>
      </c>
      <c r="H458" s="91">
        <v>70803.23</v>
      </c>
      <c r="I458" s="91"/>
      <c r="J458" s="91">
        <v>0</v>
      </c>
      <c r="K458" s="91">
        <v>0</v>
      </c>
      <c r="L458" s="103"/>
      <c r="M458" s="94">
        <v>0</v>
      </c>
      <c r="N458" s="103"/>
      <c r="O458" s="103"/>
      <c r="P458" s="91">
        <v>0</v>
      </c>
      <c r="Q458" s="90"/>
      <c r="R458" s="91">
        <v>251.68</v>
      </c>
      <c r="S458" s="90"/>
      <c r="T458" s="91">
        <v>26791.18</v>
      </c>
      <c r="U458" s="90"/>
      <c r="V458" s="91">
        <v>0</v>
      </c>
      <c r="W458" s="90"/>
      <c r="X458" s="91"/>
      <c r="Y458" s="91"/>
      <c r="Z458" s="91">
        <f t="shared" si="60"/>
        <v>-92491.09</v>
      </c>
      <c r="AA458" s="92">
        <v>-92491.09</v>
      </c>
      <c r="AB458" s="92">
        <f t="shared" si="56"/>
        <v>0</v>
      </c>
    </row>
    <row r="459" spans="1:28" x14ac:dyDescent="0.2">
      <c r="A459" s="288">
        <v>41455</v>
      </c>
      <c r="B459" s="91">
        <v>0</v>
      </c>
      <c r="C459" s="91">
        <v>0</v>
      </c>
      <c r="D459" s="91">
        <v>0</v>
      </c>
      <c r="E459" s="121">
        <f t="shared" si="61"/>
        <v>0</v>
      </c>
      <c r="F459" s="91">
        <v>0</v>
      </c>
      <c r="G459" s="121">
        <f t="shared" si="59"/>
        <v>0</v>
      </c>
      <c r="H459" s="91">
        <v>152861.60999999999</v>
      </c>
      <c r="I459" s="91"/>
      <c r="J459" s="91">
        <v>0</v>
      </c>
      <c r="K459" s="91">
        <v>0</v>
      </c>
      <c r="L459" s="103"/>
      <c r="M459" s="94">
        <v>0</v>
      </c>
      <c r="N459" s="103"/>
      <c r="O459" s="103">
        <v>0</v>
      </c>
      <c r="P459" s="91">
        <v>0</v>
      </c>
      <c r="Q459" s="90"/>
      <c r="R459" s="91">
        <v>30.16</v>
      </c>
      <c r="S459" s="90"/>
      <c r="T459" s="91">
        <v>13773.36</v>
      </c>
      <c r="U459" s="90"/>
      <c r="V459" s="91">
        <v>0</v>
      </c>
      <c r="W459" s="90"/>
      <c r="X459" s="91">
        <v>0</v>
      </c>
      <c r="Y459" s="91"/>
      <c r="Z459" s="91">
        <f t="shared" si="60"/>
        <v>-166665.13</v>
      </c>
      <c r="AA459" s="92">
        <v>-166665.13</v>
      </c>
      <c r="AB459" s="92">
        <f t="shared" si="56"/>
        <v>0</v>
      </c>
    </row>
    <row r="460" spans="1:28" x14ac:dyDescent="0.2">
      <c r="A460" s="288">
        <v>41547</v>
      </c>
      <c r="B460" s="91">
        <v>767</v>
      </c>
      <c r="C460" s="91">
        <v>955.17</v>
      </c>
      <c r="D460" s="91">
        <v>0</v>
      </c>
      <c r="E460" s="121">
        <f t="shared" si="61"/>
        <v>-188.16999999999996</v>
      </c>
      <c r="F460" s="91">
        <v>0</v>
      </c>
      <c r="G460" s="121">
        <f t="shared" si="59"/>
        <v>-188.16999999999996</v>
      </c>
      <c r="H460" s="91">
        <v>97005.94</v>
      </c>
      <c r="I460" s="91"/>
      <c r="J460" s="91">
        <v>240.4</v>
      </c>
      <c r="K460" s="91">
        <v>112.4</v>
      </c>
      <c r="L460" s="103"/>
      <c r="M460" s="94">
        <v>128</v>
      </c>
      <c r="N460" s="103"/>
      <c r="O460" s="103"/>
      <c r="P460" s="91">
        <v>0</v>
      </c>
      <c r="Q460" s="90"/>
      <c r="R460" s="91">
        <v>-5226.37</v>
      </c>
      <c r="S460" s="90"/>
      <c r="T460" s="91">
        <v>9809.66</v>
      </c>
      <c r="U460" s="90"/>
      <c r="V460" s="91">
        <v>0</v>
      </c>
      <c r="W460" s="90"/>
      <c r="X460" s="91"/>
      <c r="Y460" s="91"/>
      <c r="Z460" s="91">
        <f t="shared" si="60"/>
        <v>-102017.8</v>
      </c>
      <c r="AA460" s="92">
        <v>-102017.8</v>
      </c>
      <c r="AB460" s="92">
        <f t="shared" si="56"/>
        <v>0</v>
      </c>
    </row>
    <row r="461" spans="1:28" x14ac:dyDescent="0.2">
      <c r="A461" s="135"/>
      <c r="B461" s="136">
        <f>SUM(B422:B460)</f>
        <v>105104004</v>
      </c>
      <c r="C461" s="136">
        <f>SUM(C422:C460)</f>
        <v>1926228.01</v>
      </c>
      <c r="D461" s="136">
        <f>D457</f>
        <v>0</v>
      </c>
      <c r="E461" s="136">
        <f>SUM(E422:E460)</f>
        <v>-603417.55999999994</v>
      </c>
      <c r="F461" s="136">
        <f>F457</f>
        <v>0</v>
      </c>
      <c r="G461" s="136">
        <f>SUM(G422:G460)</f>
        <v>103177775.99000005</v>
      </c>
      <c r="H461" s="136">
        <f>SUM(H422:H460)</f>
        <v>54315704.559999987</v>
      </c>
      <c r="I461" s="136">
        <f t="shared" ref="I461" si="62">SUM(I422:I451)</f>
        <v>0</v>
      </c>
      <c r="J461" s="136">
        <f>SUM(J422:J460)</f>
        <v>25294546.809999991</v>
      </c>
      <c r="K461" s="136">
        <f>SUM(K422:K460)</f>
        <v>19354634.989999998</v>
      </c>
      <c r="L461" s="137">
        <f>K461/G461</f>
        <v>0.18758530899014378</v>
      </c>
      <c r="M461" s="136">
        <f>SUM(M422:M460)</f>
        <v>5940162.1199999992</v>
      </c>
      <c r="N461" s="129">
        <f>M461/G461</f>
        <v>5.7572108557328444E-2</v>
      </c>
      <c r="O461" s="136">
        <f>SUM(O422:O447)</f>
        <v>0</v>
      </c>
      <c r="P461" s="136">
        <f>SUM(P422:P460)</f>
        <v>990458.77000000014</v>
      </c>
      <c r="Q461" s="129">
        <f>P461/G461</f>
        <v>9.5995359513854506E-3</v>
      </c>
      <c r="R461" s="136">
        <f>SUM(R422:R460)</f>
        <v>4574553.6899999985</v>
      </c>
      <c r="S461" s="97">
        <f>R461/G461</f>
        <v>4.433661848306715E-2</v>
      </c>
      <c r="T461" s="136">
        <f>SUM(T422:T460)</f>
        <v>6114837.2099999981</v>
      </c>
      <c r="U461" s="129">
        <f>T461/G461</f>
        <v>5.9265061214273947E-2</v>
      </c>
      <c r="V461" s="136">
        <f>SUM(V422:V460)</f>
        <v>108262.74</v>
      </c>
      <c r="W461" s="97">
        <f>V461/G461</f>
        <v>1.049283520227193E-3</v>
      </c>
      <c r="X461" s="136">
        <f t="shared" ref="X461" si="63">SUM(X422:X451)</f>
        <v>4770000</v>
      </c>
      <c r="Y461" s="136">
        <f t="shared" ref="Y461" si="64">SUM(Y422:Y451)</f>
        <v>0</v>
      </c>
      <c r="Z461" s="136">
        <f>SUM(Z422:Z460)</f>
        <v>11995937.689999998</v>
      </c>
    </row>
    <row r="462" spans="1:28" x14ac:dyDescent="0.2">
      <c r="A462" s="98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100"/>
      <c r="M462" s="100"/>
      <c r="N462" s="100"/>
      <c r="O462" s="100"/>
      <c r="P462" s="99"/>
      <c r="Q462" s="99"/>
      <c r="R462" s="99"/>
      <c r="S462" s="99"/>
      <c r="T462" s="99"/>
      <c r="U462" s="99"/>
      <c r="V462" s="99"/>
      <c r="W462" s="99"/>
      <c r="X462" s="99"/>
      <c r="Y462" s="99"/>
      <c r="Z462" s="101">
        <f>+B461-C461-H461-J461-P461-R461-T461+V461</f>
        <v>11995937.690000022</v>
      </c>
    </row>
    <row r="463" spans="1:28" x14ac:dyDescent="0.2">
      <c r="A463" s="82" t="s">
        <v>130</v>
      </c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9"/>
      <c r="M463" s="139"/>
      <c r="N463" s="139"/>
      <c r="O463" s="139"/>
      <c r="P463" s="138"/>
      <c r="Q463" s="138"/>
      <c r="R463" s="138"/>
      <c r="S463" s="138"/>
      <c r="T463" s="138"/>
      <c r="U463" s="138"/>
      <c r="V463" s="138"/>
      <c r="W463" s="131"/>
      <c r="X463" s="131"/>
      <c r="Y463" s="131"/>
      <c r="Z463" s="132" t="str">
        <f>IF(Z462=Z461,"Check","NO")</f>
        <v>Check</v>
      </c>
    </row>
    <row r="464" spans="1:28" ht="38.25" x14ac:dyDescent="0.2">
      <c r="A464" s="86" t="s">
        <v>143</v>
      </c>
      <c r="B464" s="87" t="s">
        <v>144</v>
      </c>
      <c r="C464" s="87" t="s">
        <v>145</v>
      </c>
      <c r="D464" s="87" t="s">
        <v>170</v>
      </c>
      <c r="E464" s="87" t="s">
        <v>171</v>
      </c>
      <c r="F464" s="87" t="s">
        <v>172</v>
      </c>
      <c r="G464" s="87" t="s">
        <v>146</v>
      </c>
      <c r="H464" s="87" t="s">
        <v>147</v>
      </c>
      <c r="I464" s="87" t="s">
        <v>148</v>
      </c>
      <c r="J464" s="87" t="s">
        <v>169</v>
      </c>
      <c r="K464" s="87" t="s">
        <v>136</v>
      </c>
      <c r="L464" s="87" t="s">
        <v>149</v>
      </c>
      <c r="M464" s="87" t="s">
        <v>163</v>
      </c>
      <c r="N464" s="87" t="s">
        <v>164</v>
      </c>
      <c r="O464" s="87" t="s">
        <v>207</v>
      </c>
      <c r="P464" s="87" t="s">
        <v>150</v>
      </c>
      <c r="Q464" s="87" t="s">
        <v>151</v>
      </c>
      <c r="R464" s="87" t="s">
        <v>152</v>
      </c>
      <c r="S464" s="87" t="s">
        <v>153</v>
      </c>
      <c r="T464" s="87" t="s">
        <v>154</v>
      </c>
      <c r="U464" s="87" t="s">
        <v>155</v>
      </c>
      <c r="V464" s="87" t="s">
        <v>156</v>
      </c>
      <c r="W464" s="87" t="s">
        <v>157</v>
      </c>
      <c r="X464" s="87" t="s">
        <v>165</v>
      </c>
      <c r="Y464" s="87" t="s">
        <v>166</v>
      </c>
      <c r="Z464" s="87" t="s">
        <v>158</v>
      </c>
      <c r="AA464" s="87" t="s">
        <v>173</v>
      </c>
      <c r="AB464" s="87" t="s">
        <v>175</v>
      </c>
    </row>
    <row r="465" spans="1:28" x14ac:dyDescent="0.2">
      <c r="A465" s="140">
        <v>38442</v>
      </c>
      <c r="B465" s="141">
        <v>21988406.739999998</v>
      </c>
      <c r="C465" s="142">
        <v>0</v>
      </c>
      <c r="D465" s="142"/>
      <c r="E465" s="142"/>
      <c r="F465" s="142"/>
      <c r="G465" s="143">
        <f>B465-C465</f>
        <v>21988406.739999998</v>
      </c>
      <c r="H465" s="144">
        <v>104440.83</v>
      </c>
      <c r="I465" s="144"/>
      <c r="J465" s="91">
        <f>K465+M465</f>
        <v>5163335.4399999995</v>
      </c>
      <c r="K465" s="141">
        <v>3561402.73</v>
      </c>
      <c r="L465" s="145"/>
      <c r="M465" s="146">
        <v>1601932.71</v>
      </c>
      <c r="N465" s="147"/>
      <c r="O465" s="147"/>
      <c r="P465" s="141">
        <v>296278.8</v>
      </c>
      <c r="Q465" s="141"/>
      <c r="R465" s="141">
        <v>1058541.95</v>
      </c>
      <c r="S465" s="141"/>
      <c r="T465" s="141">
        <v>12930.42</v>
      </c>
      <c r="U465" s="141"/>
      <c r="V465" s="141">
        <v>41017.85</v>
      </c>
      <c r="W465" s="141"/>
      <c r="X465" s="141"/>
      <c r="Y465" s="141"/>
      <c r="Z465" s="91">
        <f t="shared" ref="Z465:Z499" si="65">B465-C465-H465-J465-P465-R465-T465+V465</f>
        <v>15393897.15</v>
      </c>
      <c r="AA465" s="92">
        <v>15279504.33</v>
      </c>
      <c r="AB465" s="92">
        <f t="shared" ref="AB465:AB499" si="66">Z465-AA465</f>
        <v>114392.8200000003</v>
      </c>
    </row>
    <row r="466" spans="1:28" x14ac:dyDescent="0.2">
      <c r="A466" s="95">
        <v>38533</v>
      </c>
      <c r="B466" s="99">
        <v>22763209.699999999</v>
      </c>
      <c r="C466" s="121">
        <v>0</v>
      </c>
      <c r="D466" s="121"/>
      <c r="E466" s="121"/>
      <c r="F466" s="121"/>
      <c r="G466" s="99">
        <f>B466-C466</f>
        <v>22763209.699999999</v>
      </c>
      <c r="H466" s="148">
        <v>772617.16</v>
      </c>
      <c r="I466" s="148"/>
      <c r="J466" s="91">
        <f t="shared" ref="J466:J478" si="67">K466+M466</f>
        <v>5283251.5999999996</v>
      </c>
      <c r="K466" s="141">
        <v>3740649.69</v>
      </c>
      <c r="L466" s="145"/>
      <c r="M466" s="100">
        <v>1542601.91</v>
      </c>
      <c r="N466" s="145"/>
      <c r="O466" s="145"/>
      <c r="P466" s="99">
        <v>298443.56</v>
      </c>
      <c r="Q466" s="99"/>
      <c r="R466" s="99">
        <v>1107575.3700000001</v>
      </c>
      <c r="S466" s="99"/>
      <c r="T466" s="99">
        <v>102023.41</v>
      </c>
      <c r="U466" s="99"/>
      <c r="V466" s="99">
        <v>54707.54</v>
      </c>
      <c r="W466" s="99"/>
      <c r="X466" s="99"/>
      <c r="Y466" s="99"/>
      <c r="Z466" s="91">
        <f t="shared" si="65"/>
        <v>15254006.139999997</v>
      </c>
      <c r="AA466" s="92">
        <v>15156485.810000001</v>
      </c>
      <c r="AB466" s="92">
        <f t="shared" si="66"/>
        <v>97520.329999996349</v>
      </c>
    </row>
    <row r="467" spans="1:28" x14ac:dyDescent="0.2">
      <c r="A467" s="95">
        <v>38625</v>
      </c>
      <c r="B467" s="99">
        <v>23518226.649999999</v>
      </c>
      <c r="C467" s="121">
        <v>2757</v>
      </c>
      <c r="D467" s="121"/>
      <c r="E467" s="121"/>
      <c r="F467" s="121"/>
      <c r="G467" s="99">
        <f>B467-C467</f>
        <v>23515469.649999999</v>
      </c>
      <c r="H467" s="148">
        <v>1592977.42</v>
      </c>
      <c r="I467" s="148"/>
      <c r="J467" s="91">
        <f t="shared" si="67"/>
        <v>5037053.7699999996</v>
      </c>
      <c r="K467" s="141">
        <v>3758273.85</v>
      </c>
      <c r="L467" s="145"/>
      <c r="M467" s="100">
        <v>1278779.92</v>
      </c>
      <c r="N467" s="145"/>
      <c r="O467" s="145"/>
      <c r="P467" s="99">
        <v>367643.48</v>
      </c>
      <c r="Q467" s="99"/>
      <c r="R467" s="99">
        <v>991285.03</v>
      </c>
      <c r="S467" s="99"/>
      <c r="T467" s="99">
        <v>185047.6</v>
      </c>
      <c r="U467" s="99"/>
      <c r="V467" s="99">
        <v>110262.81</v>
      </c>
      <c r="W467" s="99"/>
      <c r="X467" s="99"/>
      <c r="Y467" s="99"/>
      <c r="Z467" s="91">
        <f t="shared" si="65"/>
        <v>15451725.159999998</v>
      </c>
      <c r="AA467" s="92">
        <v>15322204.640000001</v>
      </c>
      <c r="AB467" s="92">
        <f t="shared" si="66"/>
        <v>129520.51999999769</v>
      </c>
    </row>
    <row r="468" spans="1:28" x14ac:dyDescent="0.2">
      <c r="A468" s="95">
        <v>38717</v>
      </c>
      <c r="B468" s="99">
        <v>20043197.93</v>
      </c>
      <c r="C468" s="121">
        <v>2584.06</v>
      </c>
      <c r="D468" s="121"/>
      <c r="E468" s="121"/>
      <c r="F468" s="121"/>
      <c r="G468" s="99">
        <f>B468-C468</f>
        <v>20040613.870000001</v>
      </c>
      <c r="H468" s="148">
        <v>2606063.61</v>
      </c>
      <c r="I468" s="148"/>
      <c r="J468" s="91">
        <f t="shared" si="67"/>
        <v>4755359.45</v>
      </c>
      <c r="K468" s="141">
        <v>3234070.67</v>
      </c>
      <c r="L468" s="145"/>
      <c r="M468" s="100">
        <v>1521288.78</v>
      </c>
      <c r="N468" s="145"/>
      <c r="O468" s="145"/>
      <c r="P468" s="99">
        <v>312759.33</v>
      </c>
      <c r="Q468" s="99"/>
      <c r="R468" s="99">
        <v>919322.2</v>
      </c>
      <c r="S468" s="99"/>
      <c r="T468" s="99">
        <v>281487.42</v>
      </c>
      <c r="U468" s="99"/>
      <c r="V468" s="99">
        <v>42787.94</v>
      </c>
      <c r="W468" s="99"/>
      <c r="X468" s="99"/>
      <c r="Y468" s="99"/>
      <c r="Z468" s="91">
        <f t="shared" si="65"/>
        <v>11208409.800000003</v>
      </c>
      <c r="AA468" s="92">
        <v>11097810.619999999</v>
      </c>
      <c r="AB468" s="92">
        <f t="shared" si="66"/>
        <v>110599.18000000343</v>
      </c>
    </row>
    <row r="469" spans="1:28" x14ac:dyDescent="0.2">
      <c r="A469" s="95">
        <v>38807</v>
      </c>
      <c r="B469" s="99">
        <v>5348288.38</v>
      </c>
      <c r="C469" s="121">
        <v>94209.45</v>
      </c>
      <c r="D469" s="121"/>
      <c r="E469" s="121"/>
      <c r="F469" s="121"/>
      <c r="G469" s="99">
        <f>B469-C469</f>
        <v>5254078.93</v>
      </c>
      <c r="H469" s="148">
        <v>3804796.77</v>
      </c>
      <c r="I469" s="148"/>
      <c r="J469" s="91">
        <f t="shared" si="67"/>
        <v>972543.87</v>
      </c>
      <c r="K469" s="141">
        <v>933941.42</v>
      </c>
      <c r="L469" s="145"/>
      <c r="M469" s="100">
        <v>38602.449999999997</v>
      </c>
      <c r="N469" s="145"/>
      <c r="O469" s="145"/>
      <c r="P469" s="99">
        <v>9727</v>
      </c>
      <c r="Q469" s="99"/>
      <c r="R469" s="99">
        <v>136146.39000000001</v>
      </c>
      <c r="S469" s="99"/>
      <c r="T469" s="99">
        <v>471303.73</v>
      </c>
      <c r="U469" s="99"/>
      <c r="V469" s="99">
        <v>0</v>
      </c>
      <c r="W469" s="99"/>
      <c r="X469" s="99">
        <v>3255000</v>
      </c>
      <c r="Y469" s="99"/>
      <c r="Z469" s="91">
        <f t="shared" si="65"/>
        <v>-140438.83000000031</v>
      </c>
      <c r="AA469" s="92">
        <v>-140438.82999999999</v>
      </c>
      <c r="AB469" s="92">
        <f t="shared" si="66"/>
        <v>-3.2014213502407074E-10</v>
      </c>
    </row>
    <row r="470" spans="1:28" x14ac:dyDescent="0.2">
      <c r="A470" s="95">
        <v>38898</v>
      </c>
      <c r="B470" s="99">
        <v>3028008.74</v>
      </c>
      <c r="C470" s="121">
        <v>137048.84</v>
      </c>
      <c r="D470" s="121">
        <v>20860273.48</v>
      </c>
      <c r="E470" s="121">
        <f>B470-C470+D470</f>
        <v>23751233.380000003</v>
      </c>
      <c r="F470" s="121">
        <v>9142267.3000000007</v>
      </c>
      <c r="G470" s="121">
        <f>E470-F470</f>
        <v>14608966.080000002</v>
      </c>
      <c r="H470" s="148">
        <v>3784390.44</v>
      </c>
      <c r="I470" s="148"/>
      <c r="J470" s="91">
        <f t="shared" si="67"/>
        <v>526194.04</v>
      </c>
      <c r="K470" s="141">
        <v>592780.97</v>
      </c>
      <c r="L470" s="145"/>
      <c r="M470" s="100">
        <v>-66586.929999999993</v>
      </c>
      <c r="N470" s="147"/>
      <c r="O470" s="147"/>
      <c r="P470" s="99">
        <v>-26198.46</v>
      </c>
      <c r="Q470" s="141"/>
      <c r="R470" s="99">
        <v>45700.18</v>
      </c>
      <c r="S470" s="141"/>
      <c r="T470" s="99">
        <v>548526.06999999995</v>
      </c>
      <c r="U470" s="141"/>
      <c r="V470" s="99">
        <v>0</v>
      </c>
      <c r="W470" s="141"/>
      <c r="X470" s="99"/>
      <c r="Y470" s="99"/>
      <c r="Z470" s="91">
        <f t="shared" si="65"/>
        <v>-1987652.3699999996</v>
      </c>
      <c r="AA470" s="92">
        <v>-1987972.37</v>
      </c>
      <c r="AB470" s="92">
        <f t="shared" si="66"/>
        <v>320.00000000046566</v>
      </c>
    </row>
    <row r="471" spans="1:28" x14ac:dyDescent="0.2">
      <c r="A471" s="95">
        <v>38990</v>
      </c>
      <c r="B471" s="99">
        <v>705829.86</v>
      </c>
      <c r="C471" s="121">
        <v>230216.32000000001</v>
      </c>
      <c r="D471" s="121">
        <v>9142267.3000000007</v>
      </c>
      <c r="E471" s="121">
        <f>B471-C471+D471</f>
        <v>9617880.8399999999</v>
      </c>
      <c r="F471" s="121">
        <v>2210150.98</v>
      </c>
      <c r="G471" s="121">
        <f>E471-F471</f>
        <v>7407729.8599999994</v>
      </c>
      <c r="H471" s="149">
        <v>4313410.22</v>
      </c>
      <c r="I471" s="149"/>
      <c r="J471" s="91">
        <f t="shared" si="67"/>
        <v>119048.93</v>
      </c>
      <c r="K471" s="142">
        <v>166420.76999999999</v>
      </c>
      <c r="L471" s="145"/>
      <c r="M471" s="150">
        <v>-47371.839999999997</v>
      </c>
      <c r="N471" s="151"/>
      <c r="O471" s="151"/>
      <c r="P471" s="121">
        <v>9001.98</v>
      </c>
      <c r="Q471" s="142"/>
      <c r="R471" s="121">
        <v>2548.35</v>
      </c>
      <c r="S471" s="142"/>
      <c r="T471" s="121">
        <v>515447.12</v>
      </c>
      <c r="U471" s="142"/>
      <c r="V471" s="121">
        <v>0</v>
      </c>
      <c r="W471" s="142"/>
      <c r="X471" s="121"/>
      <c r="Y471" s="121"/>
      <c r="Z471" s="152">
        <f t="shared" si="65"/>
        <v>-4483843.0599999996</v>
      </c>
      <c r="AA471" s="92">
        <v>-4483843.0599999996</v>
      </c>
      <c r="AB471" s="92">
        <f t="shared" si="66"/>
        <v>0</v>
      </c>
    </row>
    <row r="472" spans="1:28" x14ac:dyDescent="0.2">
      <c r="A472" s="95">
        <v>39082</v>
      </c>
      <c r="B472" s="99">
        <v>493818</v>
      </c>
      <c r="C472" s="121">
        <v>967531.11</v>
      </c>
      <c r="D472" s="121">
        <v>2210150.98</v>
      </c>
      <c r="E472" s="121">
        <v>1736437.87</v>
      </c>
      <c r="F472" s="121">
        <v>0</v>
      </c>
      <c r="G472" s="121">
        <f>E472-F472</f>
        <v>1736437.87</v>
      </c>
      <c r="H472" s="149">
        <v>4097929.53</v>
      </c>
      <c r="I472" s="149"/>
      <c r="J472" s="91">
        <f t="shared" si="67"/>
        <v>101014.94</v>
      </c>
      <c r="K472" s="142">
        <v>116600.94</v>
      </c>
      <c r="L472" s="145"/>
      <c r="M472" s="150">
        <v>-15586</v>
      </c>
      <c r="N472" s="151"/>
      <c r="O472" s="151"/>
      <c r="P472" s="121">
        <v>15771.74</v>
      </c>
      <c r="Q472" s="142"/>
      <c r="R472" s="121">
        <v>-16032.54</v>
      </c>
      <c r="S472" s="142"/>
      <c r="T472" s="121">
        <v>470065</v>
      </c>
      <c r="U472" s="142"/>
      <c r="V472" s="121">
        <v>0</v>
      </c>
      <c r="W472" s="142"/>
      <c r="X472" s="121"/>
      <c r="Y472" s="121"/>
      <c r="Z472" s="152">
        <f t="shared" si="65"/>
        <v>-5142461.78</v>
      </c>
      <c r="AA472" s="92">
        <v>-5142461.78</v>
      </c>
      <c r="AB472" s="92">
        <f t="shared" si="66"/>
        <v>0</v>
      </c>
    </row>
    <row r="473" spans="1:28" x14ac:dyDescent="0.2">
      <c r="A473" s="95">
        <v>39172</v>
      </c>
      <c r="B473" s="99">
        <v>-338219</v>
      </c>
      <c r="C473" s="121">
        <v>65187.11</v>
      </c>
      <c r="D473" s="121"/>
      <c r="E473" s="121"/>
      <c r="F473" s="121"/>
      <c r="G473" s="121">
        <f t="shared" ref="G473:G499" si="68">B473-C473</f>
        <v>-403406.11</v>
      </c>
      <c r="H473" s="149">
        <v>2980222.33</v>
      </c>
      <c r="I473" s="149"/>
      <c r="J473" s="91">
        <f t="shared" si="67"/>
        <v>-47885.96</v>
      </c>
      <c r="K473" s="142">
        <v>-41060.959999999999</v>
      </c>
      <c r="L473" s="145"/>
      <c r="M473" s="150">
        <v>-6825</v>
      </c>
      <c r="N473" s="151"/>
      <c r="O473" s="151"/>
      <c r="P473" s="121">
        <v>0</v>
      </c>
      <c r="Q473" s="142"/>
      <c r="R473" s="121">
        <v>-12194.09</v>
      </c>
      <c r="S473" s="142"/>
      <c r="T473" s="121">
        <v>441145.91</v>
      </c>
      <c r="U473" s="142"/>
      <c r="V473" s="121">
        <v>0</v>
      </c>
      <c r="W473" s="142"/>
      <c r="X473" s="121"/>
      <c r="Y473" s="121"/>
      <c r="Z473" s="152">
        <f t="shared" si="65"/>
        <v>-3764694.3000000003</v>
      </c>
      <c r="AA473" s="92">
        <v>-3764694.3</v>
      </c>
      <c r="AB473" s="92">
        <f t="shared" si="66"/>
        <v>0</v>
      </c>
    </row>
    <row r="474" spans="1:28" x14ac:dyDescent="0.2">
      <c r="A474" s="95">
        <v>39263</v>
      </c>
      <c r="B474" s="99">
        <v>-216855</v>
      </c>
      <c r="C474" s="121">
        <v>276096.18</v>
      </c>
      <c r="D474" s="121">
        <v>0</v>
      </c>
      <c r="E474" s="121">
        <f t="shared" ref="E474:E499" si="69">B474-C474+D474</f>
        <v>-492951.18</v>
      </c>
      <c r="F474" s="121">
        <v>0</v>
      </c>
      <c r="G474" s="121">
        <f t="shared" si="68"/>
        <v>-492951.18</v>
      </c>
      <c r="H474" s="149">
        <v>3394635.75</v>
      </c>
      <c r="I474" s="149"/>
      <c r="J474" s="91">
        <f t="shared" si="67"/>
        <v>-21106.129999999997</v>
      </c>
      <c r="K474" s="142">
        <v>-14627.13</v>
      </c>
      <c r="L474" s="145"/>
      <c r="M474" s="150">
        <v>-6479</v>
      </c>
      <c r="N474" s="151"/>
      <c r="O474" s="151"/>
      <c r="P474" s="121">
        <v>6077.58</v>
      </c>
      <c r="Q474" s="142"/>
      <c r="R474" s="121">
        <v>-15714.26</v>
      </c>
      <c r="S474" s="142"/>
      <c r="T474" s="121">
        <v>313604.84000000003</v>
      </c>
      <c r="U474" s="142"/>
      <c r="V474" s="121">
        <v>0</v>
      </c>
      <c r="W474" s="142"/>
      <c r="X474" s="121"/>
      <c r="Y474" s="121"/>
      <c r="Z474" s="152">
        <f t="shared" si="65"/>
        <v>-4170448.9600000004</v>
      </c>
      <c r="AA474" s="92">
        <v>-4170448.96</v>
      </c>
      <c r="AB474" s="92">
        <f t="shared" si="66"/>
        <v>0</v>
      </c>
    </row>
    <row r="475" spans="1:28" x14ac:dyDescent="0.2">
      <c r="A475" s="95">
        <v>39355</v>
      </c>
      <c r="B475" s="99">
        <v>-170344</v>
      </c>
      <c r="C475" s="121">
        <v>213524.21</v>
      </c>
      <c r="D475" s="121">
        <v>0</v>
      </c>
      <c r="E475" s="121">
        <f t="shared" si="69"/>
        <v>-383868.20999999996</v>
      </c>
      <c r="F475" s="121">
        <v>0</v>
      </c>
      <c r="G475" s="121">
        <f t="shared" si="68"/>
        <v>-383868.20999999996</v>
      </c>
      <c r="H475" s="149">
        <v>2280604</v>
      </c>
      <c r="I475" s="149"/>
      <c r="J475" s="91">
        <f t="shared" si="67"/>
        <v>-25001.98</v>
      </c>
      <c r="K475" s="142">
        <v>-23160.98</v>
      </c>
      <c r="L475" s="145"/>
      <c r="M475" s="150">
        <v>-1841</v>
      </c>
      <c r="N475" s="151"/>
      <c r="O475" s="151"/>
      <c r="P475" s="121">
        <v>1880.17</v>
      </c>
      <c r="Q475" s="142"/>
      <c r="R475" s="121">
        <v>-7158.32</v>
      </c>
      <c r="S475" s="142"/>
      <c r="T475" s="121">
        <v>332300.96999999997</v>
      </c>
      <c r="U475" s="142"/>
      <c r="V475" s="121">
        <v>0</v>
      </c>
      <c r="W475" s="142"/>
      <c r="X475" s="121"/>
      <c r="Y475" s="121"/>
      <c r="Z475" s="152">
        <f t="shared" si="65"/>
        <v>-2966493.05</v>
      </c>
      <c r="AA475" s="92">
        <v>-2966493.05</v>
      </c>
      <c r="AB475" s="92">
        <f t="shared" si="66"/>
        <v>0</v>
      </c>
    </row>
    <row r="476" spans="1:28" x14ac:dyDescent="0.2">
      <c r="A476" s="95">
        <v>39447</v>
      </c>
      <c r="B476" s="99">
        <v>16654</v>
      </c>
      <c r="C476" s="121">
        <v>-43851.66</v>
      </c>
      <c r="D476" s="121">
        <v>0</v>
      </c>
      <c r="E476" s="121">
        <f t="shared" si="69"/>
        <v>60505.66</v>
      </c>
      <c r="F476" s="121">
        <v>0</v>
      </c>
      <c r="G476" s="121">
        <f t="shared" si="68"/>
        <v>60505.66</v>
      </c>
      <c r="H476" s="149">
        <v>4086813.72</v>
      </c>
      <c r="I476" s="149"/>
      <c r="J476" s="91">
        <f t="shared" si="67"/>
        <v>5032.3599999999997</v>
      </c>
      <c r="K476" s="142">
        <v>5278.36</v>
      </c>
      <c r="L476" s="145"/>
      <c r="M476" s="150">
        <v>-246</v>
      </c>
      <c r="N476" s="151"/>
      <c r="O476" s="151"/>
      <c r="P476" s="121">
        <v>7235.84</v>
      </c>
      <c r="Q476" s="142"/>
      <c r="R476" s="121">
        <v>2134.4</v>
      </c>
      <c r="S476" s="142"/>
      <c r="T476" s="121">
        <v>197266.31</v>
      </c>
      <c r="U476" s="142"/>
      <c r="V476" s="121">
        <v>0</v>
      </c>
      <c r="W476" s="142"/>
      <c r="X476" s="121"/>
      <c r="Y476" s="121"/>
      <c r="Z476" s="152">
        <f t="shared" si="65"/>
        <v>-4237976.97</v>
      </c>
      <c r="AA476" s="92">
        <v>-4237976.97</v>
      </c>
      <c r="AB476" s="92">
        <f t="shared" si="66"/>
        <v>0</v>
      </c>
    </row>
    <row r="477" spans="1:28" x14ac:dyDescent="0.2">
      <c r="A477" s="95">
        <v>39538</v>
      </c>
      <c r="B477" s="99">
        <v>26151</v>
      </c>
      <c r="C477" s="121">
        <v>30261.02</v>
      </c>
      <c r="D477" s="121">
        <v>0</v>
      </c>
      <c r="E477" s="121">
        <f t="shared" si="69"/>
        <v>-4110.0200000000004</v>
      </c>
      <c r="F477" s="121">
        <v>0</v>
      </c>
      <c r="G477" s="121">
        <f t="shared" si="68"/>
        <v>-4110.0200000000004</v>
      </c>
      <c r="H477" s="149">
        <v>2763199.48</v>
      </c>
      <c r="I477" s="149"/>
      <c r="J477" s="91">
        <f t="shared" si="67"/>
        <v>4842.8</v>
      </c>
      <c r="K477" s="142">
        <v>5686.8</v>
      </c>
      <c r="L477" s="145"/>
      <c r="M477" s="150">
        <v>-844</v>
      </c>
      <c r="N477" s="151"/>
      <c r="O477" s="151"/>
      <c r="P477" s="121">
        <v>5453.32</v>
      </c>
      <c r="Q477" s="142"/>
      <c r="R477" s="121">
        <v>2419.85</v>
      </c>
      <c r="S477" s="142"/>
      <c r="T477" s="121">
        <v>197828.65</v>
      </c>
      <c r="U477" s="142"/>
      <c r="V477" s="121">
        <v>0</v>
      </c>
      <c r="W477" s="142"/>
      <c r="X477" s="121"/>
      <c r="Y477" s="121"/>
      <c r="Z477" s="152">
        <f t="shared" si="65"/>
        <v>-2977854.1199999996</v>
      </c>
      <c r="AA477" s="92">
        <v>-2977854.12</v>
      </c>
      <c r="AB477" s="92">
        <f t="shared" si="66"/>
        <v>0</v>
      </c>
    </row>
    <row r="478" spans="1:28" x14ac:dyDescent="0.2">
      <c r="A478" s="95">
        <v>39629</v>
      </c>
      <c r="B478" s="99">
        <v>-48378</v>
      </c>
      <c r="C478" s="121">
        <v>280342.67</v>
      </c>
      <c r="D478" s="121">
        <v>0</v>
      </c>
      <c r="E478" s="121">
        <f t="shared" si="69"/>
        <v>-328720.67</v>
      </c>
      <c r="F478" s="121">
        <v>0</v>
      </c>
      <c r="G478" s="121">
        <f t="shared" si="68"/>
        <v>-328720.67</v>
      </c>
      <c r="H478" s="149">
        <v>1422819.09</v>
      </c>
      <c r="I478" s="149"/>
      <c r="J478" s="91">
        <f t="shared" si="67"/>
        <v>-2837.69</v>
      </c>
      <c r="K478" s="142">
        <f>-514.37+-955.22+-152.1</f>
        <v>-1621.69</v>
      </c>
      <c r="L478" s="145"/>
      <c r="M478" s="150">
        <f>-742+-168+-306</f>
        <v>-1216</v>
      </c>
      <c r="N478" s="151"/>
      <c r="O478" s="151"/>
      <c r="P478" s="121">
        <v>2743.12</v>
      </c>
      <c r="Q478" s="142"/>
      <c r="R478" s="121">
        <v>-5510.9</v>
      </c>
      <c r="S478" s="142"/>
      <c r="T478" s="121">
        <v>181535.18</v>
      </c>
      <c r="U478" s="142"/>
      <c r="V478" s="121">
        <v>0</v>
      </c>
      <c r="W478" s="142"/>
      <c r="X478" s="121"/>
      <c r="Y478" s="121"/>
      <c r="Z478" s="152">
        <f t="shared" si="65"/>
        <v>-1927469.4700000002</v>
      </c>
      <c r="AA478" s="92">
        <v>-1927469.47</v>
      </c>
      <c r="AB478" s="92">
        <f t="shared" si="66"/>
        <v>0</v>
      </c>
    </row>
    <row r="479" spans="1:28" x14ac:dyDescent="0.2">
      <c r="A479" s="95">
        <v>39721</v>
      </c>
      <c r="B479" s="99">
        <v>-17898</v>
      </c>
      <c r="C479" s="121">
        <v>-68525.52</v>
      </c>
      <c r="D479" s="121">
        <v>0</v>
      </c>
      <c r="E479" s="121">
        <f t="shared" si="69"/>
        <v>50627.520000000004</v>
      </c>
      <c r="F479" s="121">
        <v>0</v>
      </c>
      <c r="G479" s="121">
        <f t="shared" si="68"/>
        <v>50627.520000000004</v>
      </c>
      <c r="H479" s="149">
        <v>1171269.79</v>
      </c>
      <c r="I479" s="149"/>
      <c r="J479" s="91">
        <v>-4205.0600000000004</v>
      </c>
      <c r="K479" s="142">
        <v>-2904.06</v>
      </c>
      <c r="L479" s="145"/>
      <c r="M479" s="150">
        <v>-1301</v>
      </c>
      <c r="N479" s="151"/>
      <c r="O479" s="151"/>
      <c r="P479" s="121">
        <v>1208.3</v>
      </c>
      <c r="Q479" s="142"/>
      <c r="R479" s="121">
        <v>1605.77</v>
      </c>
      <c r="S479" s="142"/>
      <c r="T479" s="121">
        <v>183489.17</v>
      </c>
      <c r="U479" s="142"/>
      <c r="V479" s="121">
        <v>0</v>
      </c>
      <c r="W479" s="142"/>
      <c r="X479" s="121"/>
      <c r="Y479" s="121"/>
      <c r="Z479" s="152">
        <f t="shared" si="65"/>
        <v>-1302740.45</v>
      </c>
      <c r="AA479" s="92">
        <v>-1302740.45</v>
      </c>
      <c r="AB479" s="92">
        <f t="shared" si="66"/>
        <v>0</v>
      </c>
    </row>
    <row r="480" spans="1:28" x14ac:dyDescent="0.2">
      <c r="A480" s="95">
        <v>39813</v>
      </c>
      <c r="B480" s="99">
        <v>-36092</v>
      </c>
      <c r="C480" s="121">
        <v>-3292.2</v>
      </c>
      <c r="D480" s="121">
        <v>0</v>
      </c>
      <c r="E480" s="121">
        <f t="shared" si="69"/>
        <v>-32799.800000000003</v>
      </c>
      <c r="F480" s="121">
        <v>0</v>
      </c>
      <c r="G480" s="121">
        <f t="shared" si="68"/>
        <v>-32799.800000000003</v>
      </c>
      <c r="H480" s="149">
        <v>833205.73</v>
      </c>
      <c r="I480" s="149"/>
      <c r="J480" s="91">
        <v>-4165.46</v>
      </c>
      <c r="K480" s="142">
        <v>-3837.46</v>
      </c>
      <c r="L480" s="145"/>
      <c r="M480" s="150">
        <v>-328</v>
      </c>
      <c r="N480" s="151"/>
      <c r="O480" s="151"/>
      <c r="P480" s="121">
        <v>-51.58</v>
      </c>
      <c r="Q480" s="142"/>
      <c r="R480" s="121">
        <v>-1072.45</v>
      </c>
      <c r="S480" s="142"/>
      <c r="T480" s="121">
        <v>132196.85999999999</v>
      </c>
      <c r="U480" s="142"/>
      <c r="V480" s="121">
        <v>0</v>
      </c>
      <c r="W480" s="142"/>
      <c r="X480" s="121"/>
      <c r="Y480" s="121"/>
      <c r="Z480" s="152">
        <f t="shared" si="65"/>
        <v>-992912.90000000014</v>
      </c>
      <c r="AA480" s="92">
        <v>-992912.9</v>
      </c>
      <c r="AB480" s="92">
        <f t="shared" si="66"/>
        <v>0</v>
      </c>
    </row>
    <row r="481" spans="1:28" x14ac:dyDescent="0.2">
      <c r="A481" s="95">
        <v>39903</v>
      </c>
      <c r="B481" s="99">
        <v>-6241</v>
      </c>
      <c r="C481" s="121">
        <v>-17122.72</v>
      </c>
      <c r="D481" s="121">
        <v>0</v>
      </c>
      <c r="E481" s="121">
        <f t="shared" si="69"/>
        <v>10881.720000000001</v>
      </c>
      <c r="F481" s="121">
        <v>0</v>
      </c>
      <c r="G481" s="121">
        <f t="shared" si="68"/>
        <v>10881.720000000001</v>
      </c>
      <c r="H481" s="149">
        <v>1102506.3799999999</v>
      </c>
      <c r="I481" s="149"/>
      <c r="J481" s="91">
        <v>-1462.04</v>
      </c>
      <c r="K481" s="142">
        <v>-1070.45</v>
      </c>
      <c r="L481" s="145"/>
      <c r="M481" s="150">
        <v>-395</v>
      </c>
      <c r="N481" s="151"/>
      <c r="O481" s="249">
        <v>3.41</v>
      </c>
      <c r="P481" s="121">
        <v>766.49</v>
      </c>
      <c r="Q481" s="142"/>
      <c r="R481" s="121">
        <v>-56.88</v>
      </c>
      <c r="S481" s="142"/>
      <c r="T481" s="121">
        <v>79276.399999999994</v>
      </c>
      <c r="U481" s="142"/>
      <c r="V481" s="121">
        <v>0</v>
      </c>
      <c r="W481" s="142"/>
      <c r="X481" s="121"/>
      <c r="Y481" s="121"/>
      <c r="Z481" s="152">
        <f t="shared" si="65"/>
        <v>-1170148.6299999999</v>
      </c>
      <c r="AA481" s="92">
        <v>-1170148.6299999999</v>
      </c>
      <c r="AB481" s="92">
        <f t="shared" si="66"/>
        <v>0</v>
      </c>
    </row>
    <row r="482" spans="1:28" x14ac:dyDescent="0.2">
      <c r="A482" s="95">
        <v>39994</v>
      </c>
      <c r="B482" s="99">
        <v>570946</v>
      </c>
      <c r="C482" s="121">
        <v>514167.19</v>
      </c>
      <c r="D482" s="121">
        <v>0</v>
      </c>
      <c r="E482" s="121">
        <f t="shared" si="69"/>
        <v>56778.81</v>
      </c>
      <c r="F482" s="121">
        <v>0</v>
      </c>
      <c r="G482" s="121">
        <f t="shared" si="68"/>
        <v>56778.81</v>
      </c>
      <c r="H482" s="149">
        <v>681530.44</v>
      </c>
      <c r="I482" s="149"/>
      <c r="J482" s="91">
        <v>94298.98</v>
      </c>
      <c r="K482" s="142">
        <f>103696.48+-8020.84+-1211.66</f>
        <v>94463.98</v>
      </c>
      <c r="L482" s="145"/>
      <c r="M482" s="150">
        <f>-192+-87+114</f>
        <v>-165</v>
      </c>
      <c r="N482" s="151"/>
      <c r="O482" s="249"/>
      <c r="P482" s="121">
        <v>167.51</v>
      </c>
      <c r="Q482" s="142"/>
      <c r="R482" s="121">
        <v>2546.0700000000002</v>
      </c>
      <c r="S482" s="142"/>
      <c r="T482" s="121">
        <v>122519.53</v>
      </c>
      <c r="U482" s="142"/>
      <c r="V482" s="121">
        <v>0</v>
      </c>
      <c r="W482" s="142"/>
      <c r="X482" s="121"/>
      <c r="Y482" s="121"/>
      <c r="Z482" s="152">
        <f t="shared" si="65"/>
        <v>-844283.71999999986</v>
      </c>
      <c r="AA482" s="92">
        <v>-844283.72</v>
      </c>
      <c r="AB482" s="92">
        <f t="shared" si="66"/>
        <v>0</v>
      </c>
    </row>
    <row r="483" spans="1:28" x14ac:dyDescent="0.2">
      <c r="A483" s="95">
        <v>40086</v>
      </c>
      <c r="B483" s="99">
        <v>-26547</v>
      </c>
      <c r="C483" s="121">
        <v>-28159.759999999998</v>
      </c>
      <c r="D483" s="121">
        <v>0</v>
      </c>
      <c r="E483" s="121">
        <f t="shared" si="69"/>
        <v>1612.7599999999984</v>
      </c>
      <c r="F483" s="121">
        <v>0</v>
      </c>
      <c r="G483" s="121">
        <f t="shared" si="68"/>
        <v>1612.7599999999984</v>
      </c>
      <c r="H483" s="149">
        <v>973184.59</v>
      </c>
      <c r="I483" s="149"/>
      <c r="J483" s="91">
        <v>-3337.04</v>
      </c>
      <c r="K483" s="142">
        <f>-1424.66+-607.64+-464.74</f>
        <v>-2497.04</v>
      </c>
      <c r="L483" s="145"/>
      <c r="M483" s="150">
        <f>-586+-254</f>
        <v>-840</v>
      </c>
      <c r="N483" s="151"/>
      <c r="O483" s="249"/>
      <c r="P483" s="121">
        <v>253</v>
      </c>
      <c r="Q483" s="142"/>
      <c r="R483" s="121">
        <v>233.89</v>
      </c>
      <c r="S483" s="142"/>
      <c r="T483" s="121">
        <v>92795.46</v>
      </c>
      <c r="U483" s="142"/>
      <c r="V483" s="121">
        <v>0</v>
      </c>
      <c r="W483" s="142"/>
      <c r="X483" s="121"/>
      <c r="Y483" s="121"/>
      <c r="Z483" s="152">
        <f t="shared" si="65"/>
        <v>-1061517.1399999999</v>
      </c>
      <c r="AA483" s="92">
        <v>-1061517.1399999999</v>
      </c>
      <c r="AB483" s="92">
        <f t="shared" si="66"/>
        <v>0</v>
      </c>
    </row>
    <row r="484" spans="1:28" x14ac:dyDescent="0.2">
      <c r="A484" s="95">
        <v>40178</v>
      </c>
      <c r="B484" s="99">
        <v>98086</v>
      </c>
      <c r="C484" s="121">
        <v>107931.48</v>
      </c>
      <c r="D484" s="121">
        <v>0</v>
      </c>
      <c r="E484" s="121">
        <f t="shared" si="69"/>
        <v>-9845.4799999999959</v>
      </c>
      <c r="F484" s="121">
        <v>0</v>
      </c>
      <c r="G484" s="121">
        <f t="shared" si="68"/>
        <v>-9845.4799999999959</v>
      </c>
      <c r="H484" s="250">
        <v>874772.39</v>
      </c>
      <c r="I484" s="149"/>
      <c r="J484" s="91">
        <v>18145.52</v>
      </c>
      <c r="K484" s="142">
        <v>18152.52</v>
      </c>
      <c r="L484" s="145"/>
      <c r="M484" s="150">
        <v>-8</v>
      </c>
      <c r="N484" s="151"/>
      <c r="O484" s="249">
        <v>1</v>
      </c>
      <c r="P484" s="121">
        <v>102.07</v>
      </c>
      <c r="Q484" s="142"/>
      <c r="R484" s="121">
        <v>7780.25</v>
      </c>
      <c r="S484" s="142"/>
      <c r="T484" s="121">
        <v>57782.07</v>
      </c>
      <c r="U484" s="142"/>
      <c r="V484" s="121">
        <v>0</v>
      </c>
      <c r="W484" s="142"/>
      <c r="X484" s="121"/>
      <c r="Y484" s="121"/>
      <c r="Z484" s="152">
        <f t="shared" si="65"/>
        <v>-968427.77999999991</v>
      </c>
      <c r="AA484" s="92">
        <v>-968427.78</v>
      </c>
      <c r="AB484" s="92">
        <f t="shared" si="66"/>
        <v>0</v>
      </c>
    </row>
    <row r="485" spans="1:28" x14ac:dyDescent="0.2">
      <c r="A485" s="140">
        <v>40268</v>
      </c>
      <c r="B485" s="99">
        <v>-18153</v>
      </c>
      <c r="C485" s="121">
        <v>-4941.1899999999996</v>
      </c>
      <c r="D485" s="121">
        <v>0</v>
      </c>
      <c r="E485" s="121">
        <f t="shared" si="69"/>
        <v>-13211.810000000001</v>
      </c>
      <c r="F485" s="121">
        <v>0</v>
      </c>
      <c r="G485" s="121">
        <f t="shared" si="68"/>
        <v>-13211.810000000001</v>
      </c>
      <c r="H485" s="250">
        <v>318413.57</v>
      </c>
      <c r="I485" s="149"/>
      <c r="J485" s="91">
        <v>-3188.49</v>
      </c>
      <c r="K485" s="142">
        <v>-3188.49</v>
      </c>
      <c r="L485" s="145"/>
      <c r="M485" s="150">
        <v>0</v>
      </c>
      <c r="N485" s="151"/>
      <c r="O485" s="249"/>
      <c r="P485" s="121">
        <v>38.74</v>
      </c>
      <c r="Q485" s="142"/>
      <c r="R485" s="121">
        <v>7141.12</v>
      </c>
      <c r="S485" s="142"/>
      <c r="T485" s="121">
        <v>-3314.32</v>
      </c>
      <c r="U485" s="142"/>
      <c r="V485" s="121">
        <v>0</v>
      </c>
      <c r="W485" s="142"/>
      <c r="X485" s="121"/>
      <c r="Y485" s="121"/>
      <c r="Z485" s="152">
        <f t="shared" si="65"/>
        <v>-332302.43</v>
      </c>
      <c r="AA485" s="92">
        <v>-332302.43</v>
      </c>
      <c r="AB485" s="92">
        <f t="shared" si="66"/>
        <v>0</v>
      </c>
    </row>
    <row r="486" spans="1:28" x14ac:dyDescent="0.2">
      <c r="A486" s="95">
        <v>40359</v>
      </c>
      <c r="B486" s="99">
        <v>-988</v>
      </c>
      <c r="C486" s="121">
        <v>-23489.77</v>
      </c>
      <c r="D486" s="121">
        <v>0</v>
      </c>
      <c r="E486" s="121">
        <f t="shared" si="69"/>
        <v>22501.77</v>
      </c>
      <c r="F486" s="121">
        <v>0</v>
      </c>
      <c r="G486" s="121">
        <f t="shared" si="68"/>
        <v>22501.77</v>
      </c>
      <c r="H486" s="250">
        <v>295001.2</v>
      </c>
      <c r="I486" s="149"/>
      <c r="J486" s="91">
        <v>-184.62</v>
      </c>
      <c r="K486" s="142">
        <v>-184.62</v>
      </c>
      <c r="L486" s="145"/>
      <c r="M486" s="150">
        <v>0</v>
      </c>
      <c r="N486" s="151"/>
      <c r="O486" s="249"/>
      <c r="P486" s="121">
        <v>-3.55</v>
      </c>
      <c r="Q486" s="142"/>
      <c r="R486" s="121">
        <v>881.04</v>
      </c>
      <c r="S486" s="142"/>
      <c r="T486" s="121">
        <v>47404.72</v>
      </c>
      <c r="U486" s="142"/>
      <c r="V486" s="121">
        <v>0</v>
      </c>
      <c r="W486" s="142"/>
      <c r="X486" s="121"/>
      <c r="Y486" s="121"/>
      <c r="Z486" s="152">
        <f t="shared" si="65"/>
        <v>-320597.02</v>
      </c>
      <c r="AA486" s="92">
        <v>-320597.02</v>
      </c>
      <c r="AB486" s="92">
        <f t="shared" si="66"/>
        <v>0</v>
      </c>
    </row>
    <row r="487" spans="1:28" x14ac:dyDescent="0.2">
      <c r="A487" s="140">
        <v>40451</v>
      </c>
      <c r="B487" s="99">
        <v>109640</v>
      </c>
      <c r="C487" s="121">
        <v>-12950.6</v>
      </c>
      <c r="D487" s="121">
        <v>0</v>
      </c>
      <c r="E487" s="121">
        <f t="shared" si="69"/>
        <v>122590.6</v>
      </c>
      <c r="F487" s="121">
        <v>0</v>
      </c>
      <c r="G487" s="121">
        <f t="shared" si="68"/>
        <v>122590.6</v>
      </c>
      <c r="H487" s="250">
        <v>194888</v>
      </c>
      <c r="I487" s="149"/>
      <c r="J487" s="91">
        <v>20337.060000000001</v>
      </c>
      <c r="K487" s="142">
        <v>20513.060000000001</v>
      </c>
      <c r="L487" s="145"/>
      <c r="M487" s="150">
        <v>-176</v>
      </c>
      <c r="N487" s="151"/>
      <c r="O487" s="249">
        <v>0</v>
      </c>
      <c r="P487" s="121">
        <v>-3.01</v>
      </c>
      <c r="Q487" s="142"/>
      <c r="R487" s="121">
        <v>4487.34</v>
      </c>
      <c r="S487" s="142"/>
      <c r="T487" s="121">
        <v>28392.02</v>
      </c>
      <c r="U487" s="142"/>
      <c r="V487" s="121">
        <v>0</v>
      </c>
      <c r="W487" s="142"/>
      <c r="X487" s="121"/>
      <c r="Y487" s="121"/>
      <c r="Z487" s="152">
        <f t="shared" si="65"/>
        <v>-125510.81</v>
      </c>
      <c r="AA487" s="92">
        <v>-125510.81</v>
      </c>
      <c r="AB487" s="92">
        <f t="shared" si="66"/>
        <v>0</v>
      </c>
    </row>
    <row r="488" spans="1:28" x14ac:dyDescent="0.2">
      <c r="A488" s="140">
        <v>40543</v>
      </c>
      <c r="B488" s="99">
        <v>1700</v>
      </c>
      <c r="C488" s="121">
        <v>105910.09</v>
      </c>
      <c r="D488" s="121">
        <v>0</v>
      </c>
      <c r="E488" s="121">
        <f t="shared" si="69"/>
        <v>-104210.09</v>
      </c>
      <c r="F488" s="121">
        <v>0</v>
      </c>
      <c r="G488" s="121">
        <f t="shared" si="68"/>
        <v>-104210.09</v>
      </c>
      <c r="H488" s="250">
        <v>-85592.24</v>
      </c>
      <c r="I488" s="149"/>
      <c r="J488" s="91">
        <v>433.9</v>
      </c>
      <c r="K488" s="142">
        <v>292.89999999999998</v>
      </c>
      <c r="L488" s="145"/>
      <c r="M488" s="150">
        <v>142</v>
      </c>
      <c r="N488" s="151"/>
      <c r="O488" s="249">
        <v>0</v>
      </c>
      <c r="P488" s="121">
        <v>14.2</v>
      </c>
      <c r="Q488" s="142"/>
      <c r="R488" s="121">
        <v>-3112.46</v>
      </c>
      <c r="S488" s="142"/>
      <c r="T488" s="121">
        <v>27857.3</v>
      </c>
      <c r="U488" s="142"/>
      <c r="V488" s="121">
        <v>0</v>
      </c>
      <c r="W488" s="142"/>
      <c r="X488" s="121"/>
      <c r="Y488" s="121"/>
      <c r="Z488" s="152">
        <f t="shared" si="65"/>
        <v>-43810.789999999994</v>
      </c>
      <c r="AA488" s="92">
        <v>-43810.79</v>
      </c>
      <c r="AB488" s="92">
        <f t="shared" si="66"/>
        <v>0</v>
      </c>
    </row>
    <row r="489" spans="1:28" x14ac:dyDescent="0.2">
      <c r="A489" s="288">
        <v>40633</v>
      </c>
      <c r="B489" s="99">
        <v>-4302</v>
      </c>
      <c r="C489" s="121">
        <v>8274.73</v>
      </c>
      <c r="D489" s="121">
        <v>0</v>
      </c>
      <c r="E489" s="121">
        <f t="shared" si="69"/>
        <v>-12576.73</v>
      </c>
      <c r="F489" s="121">
        <v>0</v>
      </c>
      <c r="G489" s="121">
        <f t="shared" si="68"/>
        <v>-12576.73</v>
      </c>
      <c r="H489" s="250">
        <v>-198074.15</v>
      </c>
      <c r="I489" s="149"/>
      <c r="J489" s="91">
        <v>-871.31</v>
      </c>
      <c r="K489" s="142">
        <v>-794.31</v>
      </c>
      <c r="L489" s="145"/>
      <c r="M489" s="150">
        <v>-77</v>
      </c>
      <c r="N489" s="151"/>
      <c r="O489" s="249"/>
      <c r="P489" s="121">
        <v>-2.58</v>
      </c>
      <c r="Q489" s="142"/>
      <c r="R489" s="121">
        <v>-575.74</v>
      </c>
      <c r="S489" s="142"/>
      <c r="T489" s="121">
        <v>3835.43</v>
      </c>
      <c r="U489" s="142"/>
      <c r="V489" s="121">
        <v>0</v>
      </c>
      <c r="W489" s="142"/>
      <c r="X489" s="121"/>
      <c r="Y489" s="121"/>
      <c r="Z489" s="152">
        <f t="shared" si="65"/>
        <v>183111.61999999997</v>
      </c>
      <c r="AA489" s="92">
        <v>183111.62</v>
      </c>
      <c r="AB489" s="92">
        <f t="shared" si="66"/>
        <v>0</v>
      </c>
    </row>
    <row r="490" spans="1:28" x14ac:dyDescent="0.2">
      <c r="A490" s="288">
        <v>40724</v>
      </c>
      <c r="B490" s="99">
        <v>16533</v>
      </c>
      <c r="C490" s="121">
        <v>26995.72</v>
      </c>
      <c r="D490" s="121">
        <v>0</v>
      </c>
      <c r="E490" s="121">
        <f t="shared" si="69"/>
        <v>-10462.720000000001</v>
      </c>
      <c r="F490" s="121">
        <v>0</v>
      </c>
      <c r="G490" s="121">
        <f t="shared" si="68"/>
        <v>-10462.720000000001</v>
      </c>
      <c r="H490" s="250">
        <v>167997.82</v>
      </c>
      <c r="I490" s="149"/>
      <c r="J490" s="91">
        <v>3177.79</v>
      </c>
      <c r="K490" s="142">
        <v>3045.79</v>
      </c>
      <c r="L490" s="145"/>
      <c r="M490" s="150">
        <v>132</v>
      </c>
      <c r="N490" s="151"/>
      <c r="O490" s="249"/>
      <c r="P490" s="121">
        <v>4.71</v>
      </c>
      <c r="Q490" s="142"/>
      <c r="R490" s="121">
        <v>194.86</v>
      </c>
      <c r="S490" s="142"/>
      <c r="T490" s="121">
        <v>34871.01</v>
      </c>
      <c r="U490" s="142"/>
      <c r="V490" s="121">
        <v>0</v>
      </c>
      <c r="W490" s="142"/>
      <c r="X490" s="121"/>
      <c r="Y490" s="121"/>
      <c r="Z490" s="152">
        <f t="shared" si="65"/>
        <v>-216708.91</v>
      </c>
      <c r="AA490" s="92">
        <v>-216708.91</v>
      </c>
      <c r="AB490" s="92">
        <f t="shared" si="66"/>
        <v>0</v>
      </c>
    </row>
    <row r="491" spans="1:28" x14ac:dyDescent="0.2">
      <c r="A491" s="288">
        <v>40816</v>
      </c>
      <c r="B491" s="99">
        <v>-246</v>
      </c>
      <c r="C491" s="121">
        <v>-7323.15</v>
      </c>
      <c r="D491" s="121">
        <v>0</v>
      </c>
      <c r="E491" s="121">
        <f t="shared" si="69"/>
        <v>7077.15</v>
      </c>
      <c r="F491" s="121">
        <v>0</v>
      </c>
      <c r="G491" s="121">
        <f t="shared" si="68"/>
        <v>7077.15</v>
      </c>
      <c r="H491" s="250">
        <v>-221308.55</v>
      </c>
      <c r="I491" s="149"/>
      <c r="J491" s="91">
        <v>-46.25</v>
      </c>
      <c r="K491" s="142">
        <v>-46.25</v>
      </c>
      <c r="L491" s="145"/>
      <c r="M491" s="150">
        <v>0</v>
      </c>
      <c r="N491" s="151"/>
      <c r="O491" s="249">
        <v>0</v>
      </c>
      <c r="P491" s="121">
        <v>1.7</v>
      </c>
      <c r="Q491" s="142"/>
      <c r="R491" s="121">
        <v>373.28</v>
      </c>
      <c r="S491" s="142"/>
      <c r="T491" s="121">
        <v>25349.65</v>
      </c>
      <c r="U491" s="142"/>
      <c r="V491" s="121">
        <v>0</v>
      </c>
      <c r="W491" s="142"/>
      <c r="X491" s="121"/>
      <c r="Y491" s="121"/>
      <c r="Z491" s="152">
        <f t="shared" si="65"/>
        <v>202707.31999999998</v>
      </c>
      <c r="AA491" s="92">
        <v>202707.32</v>
      </c>
      <c r="AB491" s="92">
        <f t="shared" si="66"/>
        <v>0</v>
      </c>
    </row>
    <row r="492" spans="1:28" x14ac:dyDescent="0.2">
      <c r="A492" s="288">
        <v>40908</v>
      </c>
      <c r="B492" s="99">
        <v>0</v>
      </c>
      <c r="C492" s="121">
        <v>-11681.51</v>
      </c>
      <c r="D492" s="121">
        <v>0</v>
      </c>
      <c r="E492" s="121">
        <f t="shared" si="69"/>
        <v>11681.51</v>
      </c>
      <c r="F492" s="121">
        <v>0</v>
      </c>
      <c r="G492" s="121">
        <f t="shared" si="68"/>
        <v>11681.51</v>
      </c>
      <c r="H492" s="250">
        <v>110137.38</v>
      </c>
      <c r="I492" s="149"/>
      <c r="J492" s="91">
        <v>-1</v>
      </c>
      <c r="K492" s="142">
        <v>-1</v>
      </c>
      <c r="L492" s="145"/>
      <c r="M492" s="150">
        <v>0</v>
      </c>
      <c r="N492" s="151"/>
      <c r="O492" s="249">
        <v>0</v>
      </c>
      <c r="P492" s="121">
        <v>10.79</v>
      </c>
      <c r="Q492" s="142"/>
      <c r="R492" s="121">
        <v>451.42</v>
      </c>
      <c r="S492" s="142"/>
      <c r="T492" s="121">
        <v>19158.41</v>
      </c>
      <c r="U492" s="142"/>
      <c r="V492" s="121">
        <v>0</v>
      </c>
      <c r="W492" s="142"/>
      <c r="X492" s="121"/>
      <c r="Y492" s="121"/>
      <c r="Z492" s="152">
        <f t="shared" si="65"/>
        <v>-118075.49</v>
      </c>
      <c r="AA492" s="92">
        <v>-118075.49</v>
      </c>
      <c r="AB492" s="92">
        <f t="shared" si="66"/>
        <v>0</v>
      </c>
    </row>
    <row r="493" spans="1:28" x14ac:dyDescent="0.2">
      <c r="A493" s="288">
        <v>40999</v>
      </c>
      <c r="B493" s="99">
        <v>-552</v>
      </c>
      <c r="C493" s="121">
        <v>1169.45</v>
      </c>
      <c r="D493" s="121">
        <v>0</v>
      </c>
      <c r="E493" s="121">
        <f t="shared" si="69"/>
        <v>-1721.45</v>
      </c>
      <c r="F493" s="121">
        <v>0</v>
      </c>
      <c r="G493" s="121">
        <f t="shared" si="68"/>
        <v>-1721.45</v>
      </c>
      <c r="H493" s="250">
        <v>42338.45</v>
      </c>
      <c r="I493" s="149"/>
      <c r="J493" s="91">
        <v>-103.4</v>
      </c>
      <c r="K493" s="142">
        <v>-103.4</v>
      </c>
      <c r="L493" s="145"/>
      <c r="M493" s="150">
        <v>0</v>
      </c>
      <c r="N493" s="151"/>
      <c r="O493" s="249">
        <v>0</v>
      </c>
      <c r="P493" s="121">
        <v>0</v>
      </c>
      <c r="Q493" s="142"/>
      <c r="R493" s="121">
        <v>245.3</v>
      </c>
      <c r="S493" s="142"/>
      <c r="T493" s="121">
        <v>8888.2199999999993</v>
      </c>
      <c r="U493" s="142"/>
      <c r="V493" s="121">
        <v>0</v>
      </c>
      <c r="W493" s="142"/>
      <c r="X493" s="121"/>
      <c r="Y493" s="121"/>
      <c r="Z493" s="152">
        <f t="shared" si="65"/>
        <v>-53090.02</v>
      </c>
      <c r="AA493" s="92">
        <v>-53090.02</v>
      </c>
      <c r="AB493" s="92">
        <f t="shared" si="66"/>
        <v>0</v>
      </c>
    </row>
    <row r="494" spans="1:28" x14ac:dyDescent="0.2">
      <c r="A494" s="288">
        <v>41090</v>
      </c>
      <c r="B494" s="99">
        <v>-5001</v>
      </c>
      <c r="C494" s="121">
        <v>-5157.62</v>
      </c>
      <c r="D494" s="121">
        <v>0</v>
      </c>
      <c r="E494" s="121">
        <f t="shared" si="69"/>
        <v>156.61999999999989</v>
      </c>
      <c r="F494" s="121">
        <v>0</v>
      </c>
      <c r="G494" s="121">
        <f t="shared" si="68"/>
        <v>156.61999999999989</v>
      </c>
      <c r="H494" s="250">
        <v>773353.15</v>
      </c>
      <c r="I494" s="149"/>
      <c r="J494" s="91">
        <v>-34.4</v>
      </c>
      <c r="K494" s="142">
        <v>-34.4</v>
      </c>
      <c r="L494" s="145"/>
      <c r="M494" s="150">
        <v>0</v>
      </c>
      <c r="N494" s="151"/>
      <c r="O494" s="249">
        <v>0</v>
      </c>
      <c r="P494" s="121">
        <v>0</v>
      </c>
      <c r="Q494" s="142"/>
      <c r="R494" s="121">
        <v>209.51</v>
      </c>
      <c r="S494" s="142"/>
      <c r="T494" s="121">
        <v>15773.57</v>
      </c>
      <c r="U494" s="142"/>
      <c r="V494" s="121">
        <v>0</v>
      </c>
      <c r="W494" s="142"/>
      <c r="X494" s="121"/>
      <c r="Y494" s="121"/>
      <c r="Z494" s="152">
        <f t="shared" si="65"/>
        <v>-789145.21</v>
      </c>
      <c r="AA494" s="92">
        <v>-789145.21</v>
      </c>
      <c r="AB494" s="92">
        <f t="shared" si="66"/>
        <v>0</v>
      </c>
    </row>
    <row r="495" spans="1:28" x14ac:dyDescent="0.2">
      <c r="A495" s="288">
        <v>41182</v>
      </c>
      <c r="B495" s="99">
        <v>493</v>
      </c>
      <c r="C495" s="121">
        <v>-17224.12</v>
      </c>
      <c r="D495" s="121">
        <v>0</v>
      </c>
      <c r="E495" s="121">
        <f t="shared" si="69"/>
        <v>17717.12</v>
      </c>
      <c r="F495" s="121">
        <v>0</v>
      </c>
      <c r="G495" s="121">
        <f t="shared" si="68"/>
        <v>17717.12</v>
      </c>
      <c r="H495" s="250">
        <v>105223.14</v>
      </c>
      <c r="I495" s="149"/>
      <c r="J495" s="91">
        <v>89.67</v>
      </c>
      <c r="K495" s="142">
        <v>89.67</v>
      </c>
      <c r="L495" s="145"/>
      <c r="M495" s="150">
        <v>0</v>
      </c>
      <c r="N495" s="151"/>
      <c r="O495" s="249">
        <v>0</v>
      </c>
      <c r="P495" s="121">
        <v>0</v>
      </c>
      <c r="Q495" s="142"/>
      <c r="R495" s="121">
        <v>857.63</v>
      </c>
      <c r="S495" s="142"/>
      <c r="T495" s="121">
        <v>5434.64</v>
      </c>
      <c r="U495" s="142"/>
      <c r="V495" s="121">
        <v>0</v>
      </c>
      <c r="W495" s="142"/>
      <c r="X495" s="121"/>
      <c r="Y495" s="121"/>
      <c r="Z495" s="152">
        <f t="shared" si="65"/>
        <v>-93887.96</v>
      </c>
      <c r="AA495" s="92">
        <v>-93887.96</v>
      </c>
      <c r="AB495" s="92">
        <f t="shared" si="66"/>
        <v>0</v>
      </c>
    </row>
    <row r="496" spans="1:28" x14ac:dyDescent="0.2">
      <c r="A496" s="288">
        <v>41274</v>
      </c>
      <c r="B496" s="99">
        <v>1101</v>
      </c>
      <c r="C496" s="121">
        <v>-17541.68</v>
      </c>
      <c r="D496" s="121">
        <v>0</v>
      </c>
      <c r="E496" s="121">
        <f t="shared" si="69"/>
        <v>18642.68</v>
      </c>
      <c r="F496" s="121">
        <v>0</v>
      </c>
      <c r="G496" s="121">
        <f t="shared" si="68"/>
        <v>18642.68</v>
      </c>
      <c r="H496" s="250">
        <v>81786.3</v>
      </c>
      <c r="I496" s="149"/>
      <c r="J496" s="91">
        <v>206.05</v>
      </c>
      <c r="K496" s="142">
        <v>206.05</v>
      </c>
      <c r="L496" s="145"/>
      <c r="M496" s="150">
        <v>0</v>
      </c>
      <c r="N496" s="151"/>
      <c r="O496" s="249">
        <v>0</v>
      </c>
      <c r="P496" s="121">
        <v>0</v>
      </c>
      <c r="Q496" s="142"/>
      <c r="R496" s="121">
        <v>191.7</v>
      </c>
      <c r="S496" s="142"/>
      <c r="T496" s="121">
        <v>7887.71</v>
      </c>
      <c r="U496" s="142"/>
      <c r="V496" s="121">
        <v>0</v>
      </c>
      <c r="W496" s="142"/>
      <c r="X496" s="121"/>
      <c r="Y496" s="121"/>
      <c r="Z496" s="152">
        <f t="shared" si="65"/>
        <v>-71429.08</v>
      </c>
      <c r="AA496" s="92">
        <v>-71429.08</v>
      </c>
      <c r="AB496" s="92">
        <f t="shared" si="66"/>
        <v>0</v>
      </c>
    </row>
    <row r="497" spans="1:29" x14ac:dyDescent="0.2">
      <c r="A497" s="288">
        <v>41364</v>
      </c>
      <c r="B497" s="99">
        <v>0</v>
      </c>
      <c r="C497" s="121">
        <v>-309.04000000000002</v>
      </c>
      <c r="D497" s="121">
        <v>0</v>
      </c>
      <c r="E497" s="121">
        <f t="shared" si="69"/>
        <v>309.04000000000002</v>
      </c>
      <c r="F497" s="121">
        <v>0</v>
      </c>
      <c r="G497" s="121">
        <f t="shared" si="68"/>
        <v>309.04000000000002</v>
      </c>
      <c r="H497" s="250">
        <v>478932.38</v>
      </c>
      <c r="I497" s="149"/>
      <c r="J497" s="91">
        <v>0</v>
      </c>
      <c r="K497" s="142">
        <v>0</v>
      </c>
      <c r="L497" s="145"/>
      <c r="M497" s="150">
        <v>0</v>
      </c>
      <c r="N497" s="151"/>
      <c r="O497" s="249">
        <v>0</v>
      </c>
      <c r="P497" s="121">
        <v>0</v>
      </c>
      <c r="Q497" s="142"/>
      <c r="R497" s="121">
        <v>163.98</v>
      </c>
      <c r="S497" s="142"/>
      <c r="T497" s="121">
        <v>9587.42</v>
      </c>
      <c r="U497" s="142"/>
      <c r="V497" s="121">
        <v>0</v>
      </c>
      <c r="W497" s="142"/>
      <c r="X497" s="121"/>
      <c r="Y497" s="121"/>
      <c r="Z497" s="152">
        <f t="shared" si="65"/>
        <v>-488374.74</v>
      </c>
      <c r="AA497" s="92">
        <v>-488374.74</v>
      </c>
      <c r="AB497" s="92">
        <f t="shared" si="66"/>
        <v>0</v>
      </c>
    </row>
    <row r="498" spans="1:29" x14ac:dyDescent="0.2">
      <c r="A498" s="288">
        <v>41455</v>
      </c>
      <c r="B498" s="99">
        <v>0</v>
      </c>
      <c r="C498" s="121">
        <v>-6.96</v>
      </c>
      <c r="D498" s="121">
        <v>0</v>
      </c>
      <c r="E498" s="121">
        <f t="shared" si="69"/>
        <v>6.96</v>
      </c>
      <c r="F498" s="121">
        <v>0</v>
      </c>
      <c r="G498" s="121">
        <f t="shared" si="68"/>
        <v>6.96</v>
      </c>
      <c r="H498" s="250">
        <v>168356.8</v>
      </c>
      <c r="I498" s="149"/>
      <c r="J498" s="91">
        <v>0</v>
      </c>
      <c r="K498" s="142">
        <v>0</v>
      </c>
      <c r="L498" s="145"/>
      <c r="M498" s="150">
        <v>0</v>
      </c>
      <c r="N498" s="151"/>
      <c r="O498" s="249">
        <v>0</v>
      </c>
      <c r="P498" s="121">
        <v>0</v>
      </c>
      <c r="Q498" s="142"/>
      <c r="R498" s="121">
        <v>-51.55</v>
      </c>
      <c r="S498" s="142"/>
      <c r="T498" s="121">
        <v>12966.85</v>
      </c>
      <c r="U498" s="142"/>
      <c r="V498" s="121">
        <v>0</v>
      </c>
      <c r="W498" s="142"/>
      <c r="X498" s="121">
        <v>0</v>
      </c>
      <c r="Y498" s="121"/>
      <c r="Z498" s="152">
        <f t="shared" si="65"/>
        <v>-181265.14</v>
      </c>
      <c r="AA498" s="92">
        <v>-181265.14</v>
      </c>
      <c r="AB498" s="92">
        <f t="shared" si="66"/>
        <v>0</v>
      </c>
    </row>
    <row r="499" spans="1:29" x14ac:dyDescent="0.2">
      <c r="A499" s="288">
        <v>41547</v>
      </c>
      <c r="B499" s="99">
        <v>49</v>
      </c>
      <c r="C499" s="121">
        <v>0</v>
      </c>
      <c r="D499" s="121">
        <v>0</v>
      </c>
      <c r="E499" s="121">
        <f t="shared" si="69"/>
        <v>49</v>
      </c>
      <c r="F499" s="121">
        <v>0</v>
      </c>
      <c r="G499" s="121">
        <f t="shared" si="68"/>
        <v>49</v>
      </c>
      <c r="H499" s="250">
        <v>67609.78</v>
      </c>
      <c r="I499" s="149"/>
      <c r="J499" s="91">
        <v>9.2200000000000006</v>
      </c>
      <c r="K499" s="142">
        <v>9.2200000000000006</v>
      </c>
      <c r="L499" s="145"/>
      <c r="M499" s="150">
        <v>0</v>
      </c>
      <c r="N499" s="151"/>
      <c r="O499" s="249">
        <v>0</v>
      </c>
      <c r="P499" s="121">
        <v>0</v>
      </c>
      <c r="Q499" s="142"/>
      <c r="R499" s="121">
        <v>-2174.3200000000002</v>
      </c>
      <c r="S499" s="142"/>
      <c r="T499" s="121">
        <v>15035.69</v>
      </c>
      <c r="U499" s="142"/>
      <c r="V499" s="121">
        <v>0</v>
      </c>
      <c r="W499" s="142"/>
      <c r="X499" s="121"/>
      <c r="Y499" s="121"/>
      <c r="Z499" s="152">
        <f t="shared" si="65"/>
        <v>-80431.37</v>
      </c>
      <c r="AA499" s="92">
        <v>-80431.37</v>
      </c>
      <c r="AB499" s="92">
        <f t="shared" si="66"/>
        <v>0</v>
      </c>
    </row>
    <row r="500" spans="1:29" x14ac:dyDescent="0.2">
      <c r="A500" s="135"/>
      <c r="B500" s="136">
        <f>SUM(B465:B499)</f>
        <v>97840523</v>
      </c>
      <c r="C500" s="136">
        <f>SUM(C465:C499)</f>
        <v>2802629.13</v>
      </c>
      <c r="D500" s="136">
        <f>D496</f>
        <v>0</v>
      </c>
      <c r="E500" s="136">
        <f>SUM(E465:E499)</f>
        <v>34092212.849999994</v>
      </c>
      <c r="F500" s="136">
        <f>F496</f>
        <v>0</v>
      </c>
      <c r="G500" s="136">
        <f>SUM(G465:G499)</f>
        <v>115898167.35000002</v>
      </c>
      <c r="H500" s="136">
        <f>SUM(H465:H499)</f>
        <v>45940452.70000001</v>
      </c>
      <c r="I500" s="136">
        <f>SUM(I465:I486)</f>
        <v>0</v>
      </c>
      <c r="J500" s="136">
        <f>SUM(J465:J499)</f>
        <v>21989944.560000002</v>
      </c>
      <c r="K500" s="136">
        <f>SUM(K465:K499)</f>
        <v>16156747.149999999</v>
      </c>
      <c r="L500" s="137">
        <f>K500/G500</f>
        <v>0.13940468188084768</v>
      </c>
      <c r="M500" s="136">
        <f>SUM(M465:M499)</f>
        <v>5833194.0000000009</v>
      </c>
      <c r="N500" s="129">
        <f>M500/G500</f>
        <v>5.0330338549568102E-2</v>
      </c>
      <c r="O500" s="136"/>
      <c r="P500" s="136">
        <f>SUM(P465:P499)</f>
        <v>1309324.25</v>
      </c>
      <c r="Q500" s="129">
        <f>P500/G500</f>
        <v>1.1297195459924584E-2</v>
      </c>
      <c r="R500" s="136">
        <f>SUM(R465:R499)</f>
        <v>4229383.3699999992</v>
      </c>
      <c r="S500" s="97">
        <f>R500/G500</f>
        <v>3.6492236820516027E-2</v>
      </c>
      <c r="T500" s="136">
        <f>SUM(T465:T499)</f>
        <v>5177700.4399999995</v>
      </c>
      <c r="U500" s="129">
        <f>T500/G500</f>
        <v>4.4674566978819434E-2</v>
      </c>
      <c r="V500" s="136">
        <f>SUM(V465:V499)</f>
        <v>248776.14</v>
      </c>
      <c r="W500" s="97">
        <f>V500/G500</f>
        <v>2.1465062449928375E-3</v>
      </c>
      <c r="X500" s="136">
        <f>SUM(X465:X486)</f>
        <v>3255000</v>
      </c>
      <c r="Y500" s="136">
        <f>SUM(Y465:Y486)</f>
        <v>0</v>
      </c>
      <c r="Z500" s="136">
        <f>SUM(Z465:Z499)</f>
        <v>16639864.690000018</v>
      </c>
    </row>
    <row r="501" spans="1:29" x14ac:dyDescent="0.2">
      <c r="A501" s="98"/>
      <c r="B501" s="99"/>
      <c r="C501" s="121"/>
      <c r="D501" s="121"/>
      <c r="E501" s="121"/>
      <c r="F501" s="121"/>
      <c r="G501" s="99"/>
      <c r="H501" s="148"/>
      <c r="I501" s="148"/>
      <c r="J501" s="99"/>
      <c r="K501" s="99"/>
      <c r="L501" s="100"/>
      <c r="M501" s="100"/>
      <c r="N501" s="100"/>
      <c r="O501" s="100"/>
      <c r="P501" s="99"/>
      <c r="Q501" s="99"/>
      <c r="R501" s="99"/>
      <c r="S501" s="99"/>
      <c r="T501" s="99"/>
      <c r="U501" s="99"/>
      <c r="V501" s="99"/>
      <c r="W501" s="99"/>
      <c r="X501" s="99"/>
      <c r="Y501" s="99"/>
      <c r="Z501" s="153">
        <f>B500-C500-H500-J500-P500-R500-T500+V500</f>
        <v>16639864.689999996</v>
      </c>
      <c r="AA501" s="92">
        <f>Z500-Z501</f>
        <v>2.2351741790771484E-8</v>
      </c>
    </row>
    <row r="502" spans="1:29" s="157" customFormat="1" x14ac:dyDescent="0.2">
      <c r="A502" s="154" t="s">
        <v>182</v>
      </c>
      <c r="B502" s="125"/>
      <c r="C502" s="125"/>
      <c r="D502" s="138"/>
      <c r="E502" s="138"/>
      <c r="F502" s="138"/>
      <c r="G502" s="138"/>
      <c r="H502" s="125"/>
      <c r="I502" s="125"/>
      <c r="J502" s="125"/>
      <c r="K502" s="125"/>
      <c r="L502" s="130"/>
      <c r="M502" s="130"/>
      <c r="N502" s="130"/>
      <c r="O502" s="130"/>
      <c r="P502" s="125"/>
      <c r="Q502" s="125"/>
      <c r="R502" s="125"/>
      <c r="S502" s="125"/>
      <c r="T502" s="125"/>
      <c r="U502" s="125"/>
      <c r="V502" s="125"/>
      <c r="W502" s="155"/>
      <c r="X502" s="155"/>
      <c r="Y502" s="155"/>
      <c r="Z502" s="156" t="str">
        <f>IF(Z501=Z500,"Check","NO")</f>
        <v>Check</v>
      </c>
      <c r="AA502" s="85"/>
      <c r="AB502" s="85"/>
      <c r="AC502" s="85"/>
    </row>
    <row r="503" spans="1:29" ht="38.25" x14ac:dyDescent="0.2">
      <c r="A503" s="86" t="s">
        <v>143</v>
      </c>
      <c r="B503" s="87" t="s">
        <v>144</v>
      </c>
      <c r="C503" s="87" t="s">
        <v>145</v>
      </c>
      <c r="D503" s="87" t="s">
        <v>170</v>
      </c>
      <c r="E503" s="87" t="s">
        <v>171</v>
      </c>
      <c r="F503" s="87" t="s">
        <v>172</v>
      </c>
      <c r="G503" s="87" t="s">
        <v>146</v>
      </c>
      <c r="H503" s="87" t="s">
        <v>147</v>
      </c>
      <c r="I503" s="87" t="s">
        <v>148</v>
      </c>
      <c r="J503" s="87" t="s">
        <v>169</v>
      </c>
      <c r="K503" s="87" t="s">
        <v>136</v>
      </c>
      <c r="L503" s="87" t="s">
        <v>149</v>
      </c>
      <c r="M503" s="87" t="s">
        <v>163</v>
      </c>
      <c r="N503" s="87" t="s">
        <v>164</v>
      </c>
      <c r="O503" s="87" t="s">
        <v>207</v>
      </c>
      <c r="P503" s="87" t="s">
        <v>150</v>
      </c>
      <c r="Q503" s="87" t="s">
        <v>151</v>
      </c>
      <c r="R503" s="87" t="s">
        <v>152</v>
      </c>
      <c r="S503" s="87" t="s">
        <v>153</v>
      </c>
      <c r="T503" s="87" t="s">
        <v>154</v>
      </c>
      <c r="U503" s="87" t="s">
        <v>155</v>
      </c>
      <c r="V503" s="87" t="s">
        <v>156</v>
      </c>
      <c r="W503" s="87" t="s">
        <v>157</v>
      </c>
      <c r="X503" s="87" t="s">
        <v>165</v>
      </c>
      <c r="Y503" s="87" t="s">
        <v>166</v>
      </c>
      <c r="Z503" s="87" t="s">
        <v>158</v>
      </c>
      <c r="AA503" s="87" t="s">
        <v>173</v>
      </c>
      <c r="AB503" s="87" t="s">
        <v>175</v>
      </c>
    </row>
    <row r="504" spans="1:29" x14ac:dyDescent="0.2">
      <c r="A504" s="158">
        <v>38807</v>
      </c>
      <c r="B504" s="159">
        <v>19043438.039999999</v>
      </c>
      <c r="C504" s="159">
        <v>0</v>
      </c>
      <c r="D504" s="159"/>
      <c r="E504" s="159"/>
      <c r="F504" s="159"/>
      <c r="G504" s="159">
        <f>B504-C504</f>
        <v>19043438.039999999</v>
      </c>
      <c r="H504" s="159">
        <v>50267.49</v>
      </c>
      <c r="I504" s="159"/>
      <c r="J504" s="91">
        <f t="shared" ref="J504:J513" si="70">K504+M504</f>
        <v>4528096.01</v>
      </c>
      <c r="K504" s="159">
        <v>2958875.14</v>
      </c>
      <c r="L504" s="160"/>
      <c r="M504" s="160">
        <v>1569220.87</v>
      </c>
      <c r="N504" s="160"/>
      <c r="O504" s="160"/>
      <c r="P504" s="159">
        <v>335338.05</v>
      </c>
      <c r="Q504" s="159"/>
      <c r="R504" s="159">
        <v>938684.71</v>
      </c>
      <c r="S504" s="159"/>
      <c r="T504" s="159">
        <v>3682.38</v>
      </c>
      <c r="U504" s="159"/>
      <c r="V504" s="159">
        <v>31276.07</v>
      </c>
      <c r="W504" s="159"/>
      <c r="X504" s="159">
        <v>227800</v>
      </c>
      <c r="Y504" s="161"/>
      <c r="Z504" s="108">
        <f t="shared" ref="Z504:Z509" si="71">B504-C504-H504-J504-P504-R504-T504+V504</f>
        <v>13218645.470000001</v>
      </c>
      <c r="AA504" s="92">
        <v>13169823.359999999</v>
      </c>
      <c r="AB504" s="92">
        <f t="shared" ref="AB504:AB534" si="72">Z504-AA504</f>
        <v>48822.110000001267</v>
      </c>
    </row>
    <row r="505" spans="1:29" x14ac:dyDescent="0.2">
      <c r="A505" s="140">
        <v>38898</v>
      </c>
      <c r="B505" s="141">
        <v>21080704.07</v>
      </c>
      <c r="C505" s="141">
        <v>0</v>
      </c>
      <c r="D505" s="141">
        <v>15140702.210000001</v>
      </c>
      <c r="E505" s="141">
        <f t="shared" ref="E505:E534" si="73">B505-C505+D505</f>
        <v>36221406.280000001</v>
      </c>
      <c r="F505" s="141">
        <v>26206334</v>
      </c>
      <c r="G505" s="141">
        <f t="shared" ref="G505:G534" si="74">E505-F505</f>
        <v>10015072.280000001</v>
      </c>
      <c r="H505" s="141">
        <v>317170.93</v>
      </c>
      <c r="I505" s="141"/>
      <c r="J505" s="91">
        <f t="shared" si="70"/>
        <v>5049293.46</v>
      </c>
      <c r="K505" s="141">
        <v>3359572.2</v>
      </c>
      <c r="L505" s="146"/>
      <c r="M505" s="146">
        <v>1689721.26</v>
      </c>
      <c r="N505" s="146"/>
      <c r="O505" s="146"/>
      <c r="P505" s="141">
        <v>324574.34000000003</v>
      </c>
      <c r="Q505" s="141"/>
      <c r="R505" s="141">
        <v>994164.22</v>
      </c>
      <c r="S505" s="141"/>
      <c r="T505" s="141">
        <v>42914.85</v>
      </c>
      <c r="U505" s="141"/>
      <c r="V505" s="141">
        <v>51819.45</v>
      </c>
      <c r="W505" s="141"/>
      <c r="X505" s="141"/>
      <c r="Y505" s="162"/>
      <c r="Z505" s="91">
        <f t="shared" si="71"/>
        <v>14404405.719999999</v>
      </c>
      <c r="AA505" s="92">
        <v>14287333.26</v>
      </c>
      <c r="AB505" s="92">
        <f t="shared" si="72"/>
        <v>117072.45999999903</v>
      </c>
    </row>
    <row r="506" spans="1:29" x14ac:dyDescent="0.2">
      <c r="A506" s="140">
        <v>38990</v>
      </c>
      <c r="B506" s="141">
        <v>19356326.52</v>
      </c>
      <c r="C506" s="141">
        <v>94</v>
      </c>
      <c r="D506" s="141">
        <v>26206334</v>
      </c>
      <c r="E506" s="141">
        <f t="shared" si="73"/>
        <v>45562566.519999996</v>
      </c>
      <c r="F506" s="141">
        <v>30573094.75</v>
      </c>
      <c r="G506" s="141">
        <f t="shared" si="74"/>
        <v>14989471.769999996</v>
      </c>
      <c r="H506" s="141">
        <v>1169434.93</v>
      </c>
      <c r="I506" s="141"/>
      <c r="J506" s="91">
        <f t="shared" si="70"/>
        <v>4267396.26</v>
      </c>
      <c r="K506" s="141">
        <v>3078881.52</v>
      </c>
      <c r="L506" s="146"/>
      <c r="M506" s="146">
        <v>1188514.74</v>
      </c>
      <c r="N506" s="146"/>
      <c r="O506" s="146"/>
      <c r="P506" s="141">
        <v>311333.03000000003</v>
      </c>
      <c r="Q506" s="141"/>
      <c r="R506" s="141">
        <v>850639.05</v>
      </c>
      <c r="S506" s="141"/>
      <c r="T506" s="141">
        <v>144424.57</v>
      </c>
      <c r="U506" s="141"/>
      <c r="V506" s="141">
        <v>88115.81</v>
      </c>
      <c r="W506" s="141"/>
      <c r="X506" s="141"/>
      <c r="Y506" s="162"/>
      <c r="Z506" s="91">
        <f t="shared" si="71"/>
        <v>12701120.49</v>
      </c>
      <c r="AA506" s="92">
        <v>12608268.560000001</v>
      </c>
      <c r="AB506" s="92">
        <f t="shared" si="72"/>
        <v>92851.929999999702</v>
      </c>
    </row>
    <row r="507" spans="1:29" x14ac:dyDescent="0.2">
      <c r="A507" s="140">
        <v>39082</v>
      </c>
      <c r="B507" s="141">
        <v>17381356</v>
      </c>
      <c r="C507" s="141">
        <v>3910.36</v>
      </c>
      <c r="D507" s="141">
        <v>30573094.75</v>
      </c>
      <c r="E507" s="141">
        <f t="shared" si="73"/>
        <v>47950540.390000001</v>
      </c>
      <c r="F507" s="141">
        <v>28461269.920000002</v>
      </c>
      <c r="G507" s="141">
        <f t="shared" si="74"/>
        <v>19489270.469999999</v>
      </c>
      <c r="H507" s="141">
        <v>2018475.48</v>
      </c>
      <c r="I507" s="141"/>
      <c r="J507" s="91">
        <f t="shared" si="70"/>
        <v>4115857.62</v>
      </c>
      <c r="K507" s="141">
        <v>2835380.36</v>
      </c>
      <c r="L507" s="146"/>
      <c r="M507" s="146">
        <v>1280477.26</v>
      </c>
      <c r="N507" s="146"/>
      <c r="O507" s="146"/>
      <c r="P507" s="141">
        <v>321537.90000000002</v>
      </c>
      <c r="Q507" s="141"/>
      <c r="R507" s="141">
        <v>777852.1</v>
      </c>
      <c r="S507" s="141"/>
      <c r="T507" s="141">
        <v>227863.79</v>
      </c>
      <c r="U507" s="141"/>
      <c r="V507" s="141">
        <v>61077.08</v>
      </c>
      <c r="W507" s="141"/>
      <c r="X507" s="141"/>
      <c r="Y507" s="162"/>
      <c r="Z507" s="91">
        <f t="shared" si="71"/>
        <v>9976935.8300000001</v>
      </c>
      <c r="AA507" s="92">
        <v>9874546.6400000006</v>
      </c>
      <c r="AB507" s="92">
        <f t="shared" si="72"/>
        <v>102389.18999999948</v>
      </c>
    </row>
    <row r="508" spans="1:29" x14ac:dyDescent="0.2">
      <c r="A508" s="140">
        <v>39172</v>
      </c>
      <c r="B508" s="141">
        <v>3749153.86</v>
      </c>
      <c r="C508" s="141">
        <v>91832.38</v>
      </c>
      <c r="D508" s="141">
        <v>28461269.920000002</v>
      </c>
      <c r="E508" s="141">
        <f t="shared" si="73"/>
        <v>32118591.400000002</v>
      </c>
      <c r="F508" s="141">
        <v>16818772.18</v>
      </c>
      <c r="G508" s="141">
        <f t="shared" si="74"/>
        <v>15299819.220000003</v>
      </c>
      <c r="H508" s="141">
        <v>3151968.68</v>
      </c>
      <c r="I508" s="141"/>
      <c r="J508" s="91">
        <f t="shared" si="70"/>
        <v>686090.32</v>
      </c>
      <c r="K508" s="141">
        <v>664678.24</v>
      </c>
      <c r="L508" s="146"/>
      <c r="M508" s="146">
        <v>21412.080000000002</v>
      </c>
      <c r="N508" s="146"/>
      <c r="O508" s="146"/>
      <c r="P508" s="141">
        <v>10051.81</v>
      </c>
      <c r="Q508" s="141"/>
      <c r="R508" s="141">
        <v>90803.18</v>
      </c>
      <c r="S508" s="141"/>
      <c r="T508" s="141">
        <v>356931.9</v>
      </c>
      <c r="U508" s="141"/>
      <c r="V508" s="141">
        <v>0</v>
      </c>
      <c r="W508" s="141"/>
      <c r="X508" s="141"/>
      <c r="Y508" s="162"/>
      <c r="Z508" s="91">
        <f t="shared" si="71"/>
        <v>-638524.41000000015</v>
      </c>
      <c r="AA508" s="92">
        <v>-638524.41</v>
      </c>
      <c r="AB508" s="92">
        <f t="shared" si="72"/>
        <v>0</v>
      </c>
    </row>
    <row r="509" spans="1:29" x14ac:dyDescent="0.2">
      <c r="A509" s="140">
        <v>39263</v>
      </c>
      <c r="B509" s="141">
        <v>1947626.47</v>
      </c>
      <c r="C509" s="141">
        <v>426595.46</v>
      </c>
      <c r="D509" s="141">
        <v>16818772.18</v>
      </c>
      <c r="E509" s="141">
        <f t="shared" si="73"/>
        <v>18339803.190000001</v>
      </c>
      <c r="F509" s="141">
        <v>7240825.1900000004</v>
      </c>
      <c r="G509" s="141">
        <f t="shared" si="74"/>
        <v>11098978</v>
      </c>
      <c r="H509" s="141">
        <v>3003633.21</v>
      </c>
      <c r="I509" s="141"/>
      <c r="J509" s="91">
        <f t="shared" si="70"/>
        <v>307171.17</v>
      </c>
      <c r="K509" s="141">
        <v>360260.85</v>
      </c>
      <c r="L509" s="146"/>
      <c r="M509" s="146">
        <v>-53089.68</v>
      </c>
      <c r="N509" s="146"/>
      <c r="O509" s="146"/>
      <c r="P509" s="141">
        <v>-593427.87</v>
      </c>
      <c r="Q509" s="141"/>
      <c r="R509" s="141">
        <v>12225.73</v>
      </c>
      <c r="S509" s="141"/>
      <c r="T509" s="141">
        <v>433152.45</v>
      </c>
      <c r="U509" s="141"/>
      <c r="V509" s="141">
        <v>0</v>
      </c>
      <c r="W509" s="141"/>
      <c r="X509" s="141"/>
      <c r="Y509" s="162"/>
      <c r="Z509" s="91">
        <f t="shared" si="71"/>
        <v>-1641723.68</v>
      </c>
      <c r="AA509" s="92">
        <v>-1648161.68</v>
      </c>
      <c r="AB509" s="92">
        <f t="shared" si="72"/>
        <v>6438</v>
      </c>
    </row>
    <row r="510" spans="1:29" x14ac:dyDescent="0.2">
      <c r="A510" s="140">
        <v>39355</v>
      </c>
      <c r="B510" s="141">
        <v>-762887.06</v>
      </c>
      <c r="C510" s="141">
        <v>464774.07</v>
      </c>
      <c r="D510" s="141">
        <v>7240825.1900000004</v>
      </c>
      <c r="E510" s="141">
        <f t="shared" si="73"/>
        <v>6013164.0600000005</v>
      </c>
      <c r="F510" s="141">
        <v>1708268.76</v>
      </c>
      <c r="G510" s="141">
        <f t="shared" si="74"/>
        <v>4304895.3000000007</v>
      </c>
      <c r="H510" s="141">
        <v>2887494.69</v>
      </c>
      <c r="I510" s="141"/>
      <c r="J510" s="91">
        <f t="shared" si="70"/>
        <v>-103564.9</v>
      </c>
      <c r="K510" s="141">
        <v>-67203.37</v>
      </c>
      <c r="L510" s="146"/>
      <c r="M510" s="146">
        <v>-36361.53</v>
      </c>
      <c r="N510" s="146"/>
      <c r="O510" s="146"/>
      <c r="P510" s="141">
        <v>383901.43</v>
      </c>
      <c r="Q510" s="141"/>
      <c r="R510" s="141">
        <v>-52611.96</v>
      </c>
      <c r="S510" s="141"/>
      <c r="T510" s="141">
        <v>384186.86</v>
      </c>
      <c r="U510" s="141"/>
      <c r="V510" s="141">
        <v>0</v>
      </c>
      <c r="W510" s="141"/>
      <c r="X510" s="141"/>
      <c r="Y510" s="162"/>
      <c r="Z510" s="91">
        <f t="shared" ref="Z510:Z534" si="75">B510-C510-H510-J510-P510-R510-T510+V510</f>
        <v>-4727067.2500000009</v>
      </c>
      <c r="AA510" s="92">
        <v>-4720629.25</v>
      </c>
      <c r="AB510" s="92">
        <f t="shared" si="72"/>
        <v>-6438.0000000009313</v>
      </c>
    </row>
    <row r="511" spans="1:29" x14ac:dyDescent="0.2">
      <c r="A511" s="95">
        <v>39447</v>
      </c>
      <c r="B511" s="141">
        <v>72472.100000000006</v>
      </c>
      <c r="C511" s="141">
        <v>224307.49</v>
      </c>
      <c r="D511" s="141">
        <v>1708268.76</v>
      </c>
      <c r="E511" s="141">
        <f t="shared" si="73"/>
        <v>1556433.37</v>
      </c>
      <c r="F511" s="141">
        <v>0</v>
      </c>
      <c r="G511" s="141">
        <f t="shared" si="74"/>
        <v>1556433.37</v>
      </c>
      <c r="H511" s="141">
        <v>2500935.4900000002</v>
      </c>
      <c r="I511" s="141"/>
      <c r="J511" s="91">
        <f t="shared" si="70"/>
        <v>36215.26</v>
      </c>
      <c r="K511" s="141">
        <v>47762.26</v>
      </c>
      <c r="L511" s="146"/>
      <c r="M511" s="146">
        <v>-11547</v>
      </c>
      <c r="N511" s="146"/>
      <c r="O511" s="146"/>
      <c r="P511" s="141">
        <v>17594.5</v>
      </c>
      <c r="Q511" s="141"/>
      <c r="R511" s="141">
        <v>-2070.11</v>
      </c>
      <c r="S511" s="141"/>
      <c r="T511" s="141">
        <v>386452.24</v>
      </c>
      <c r="U511" s="141"/>
      <c r="V511" s="141">
        <v>0</v>
      </c>
      <c r="W511" s="141"/>
      <c r="X511" s="141"/>
      <c r="Y511" s="162"/>
      <c r="Z511" s="91">
        <f t="shared" si="75"/>
        <v>-3090962.7700000005</v>
      </c>
      <c r="AA511" s="92">
        <v>-3090962.77</v>
      </c>
      <c r="AB511" s="92">
        <f t="shared" si="72"/>
        <v>0</v>
      </c>
    </row>
    <row r="512" spans="1:29" x14ac:dyDescent="0.2">
      <c r="A512" s="95">
        <v>39538</v>
      </c>
      <c r="B512" s="141">
        <v>1220</v>
      </c>
      <c r="C512" s="141">
        <v>292960.94</v>
      </c>
      <c r="D512" s="141">
        <v>0</v>
      </c>
      <c r="E512" s="141">
        <f t="shared" si="73"/>
        <v>-291740.94</v>
      </c>
      <c r="F512" s="141">
        <v>0</v>
      </c>
      <c r="G512" s="141">
        <f t="shared" si="74"/>
        <v>-291740.94</v>
      </c>
      <c r="H512" s="141">
        <v>2547507.0499999998</v>
      </c>
      <c r="I512" s="141"/>
      <c r="J512" s="91">
        <f t="shared" si="70"/>
        <v>33606.25</v>
      </c>
      <c r="K512" s="141">
        <v>40431.25</v>
      </c>
      <c r="L512" s="146"/>
      <c r="M512" s="146">
        <v>-6825</v>
      </c>
      <c r="N512" s="146"/>
      <c r="O512" s="146"/>
      <c r="P512" s="141">
        <v>5905.28</v>
      </c>
      <c r="Q512" s="141"/>
      <c r="R512" s="141">
        <v>-6680.23</v>
      </c>
      <c r="S512" s="141"/>
      <c r="T512" s="141">
        <v>309955.99</v>
      </c>
      <c r="U512" s="141"/>
      <c r="V512" s="141">
        <v>0</v>
      </c>
      <c r="W512" s="141"/>
      <c r="X512" s="141"/>
      <c r="Y512" s="162"/>
      <c r="Z512" s="91">
        <f t="shared" si="75"/>
        <v>-3182035.2799999993</v>
      </c>
      <c r="AA512" s="92">
        <v>-3182035.28</v>
      </c>
      <c r="AB512" s="92">
        <f t="shared" si="72"/>
        <v>0</v>
      </c>
    </row>
    <row r="513" spans="1:28" x14ac:dyDescent="0.2">
      <c r="A513" s="95">
        <v>39629</v>
      </c>
      <c r="B513" s="141">
        <v>-23429</v>
      </c>
      <c r="C513" s="141">
        <v>660592.31000000006</v>
      </c>
      <c r="D513" s="141">
        <v>0</v>
      </c>
      <c r="E513" s="141">
        <f t="shared" si="73"/>
        <v>-684021.31</v>
      </c>
      <c r="F513" s="141">
        <v>0</v>
      </c>
      <c r="G513" s="141">
        <f t="shared" si="74"/>
        <v>-684021.31</v>
      </c>
      <c r="H513" s="141">
        <v>2445068.83</v>
      </c>
      <c r="I513" s="141"/>
      <c r="J513" s="91">
        <f t="shared" si="70"/>
        <v>-11433.240000000002</v>
      </c>
      <c r="K513" s="141">
        <f>-8825.03+18291.71+-12471.92</f>
        <v>-3005.2400000000016</v>
      </c>
      <c r="L513" s="146"/>
      <c r="M513" s="146">
        <f>-5361+-416+-2651</f>
        <v>-8428</v>
      </c>
      <c r="N513" s="146"/>
      <c r="O513" s="146"/>
      <c r="P513" s="141">
        <v>4913.75</v>
      </c>
      <c r="Q513" s="141"/>
      <c r="R513" s="141">
        <v>-17890.16</v>
      </c>
      <c r="S513" s="141"/>
      <c r="T513" s="141">
        <v>339653.77</v>
      </c>
      <c r="U513" s="141"/>
      <c r="V513" s="141">
        <v>0</v>
      </c>
      <c r="W513" s="141"/>
      <c r="X513" s="141"/>
      <c r="Y513" s="162"/>
      <c r="Z513" s="91">
        <f t="shared" si="75"/>
        <v>-3444334.26</v>
      </c>
      <c r="AA513" s="92">
        <v>-3444334.26</v>
      </c>
      <c r="AB513" s="92">
        <f t="shared" si="72"/>
        <v>0</v>
      </c>
    </row>
    <row r="514" spans="1:28" x14ac:dyDescent="0.2">
      <c r="A514" s="95">
        <v>39721</v>
      </c>
      <c r="B514" s="141">
        <v>-292953</v>
      </c>
      <c r="C514" s="141">
        <v>236294.1</v>
      </c>
      <c r="D514" s="141">
        <v>0</v>
      </c>
      <c r="E514" s="141">
        <f t="shared" si="73"/>
        <v>-529247.1</v>
      </c>
      <c r="F514" s="141">
        <v>0</v>
      </c>
      <c r="G514" s="141">
        <f t="shared" si="74"/>
        <v>-529247.1</v>
      </c>
      <c r="H514" s="141">
        <v>2552639.7599999998</v>
      </c>
      <c r="I514" s="141"/>
      <c r="J514" s="91">
        <v>-46423.88</v>
      </c>
      <c r="K514" s="141">
        <v>-42877.88</v>
      </c>
      <c r="L514" s="146"/>
      <c r="M514" s="146">
        <v>-3546</v>
      </c>
      <c r="N514" s="146"/>
      <c r="O514" s="146"/>
      <c r="P514" s="141">
        <v>4111.74</v>
      </c>
      <c r="Q514" s="141"/>
      <c r="R514" s="141">
        <v>-10799.09</v>
      </c>
      <c r="S514" s="141"/>
      <c r="T514" s="141">
        <v>289113.38</v>
      </c>
      <c r="U514" s="141"/>
      <c r="V514" s="141">
        <v>0</v>
      </c>
      <c r="W514" s="141"/>
      <c r="X514" s="141"/>
      <c r="Y514" s="162"/>
      <c r="Z514" s="91">
        <f t="shared" si="75"/>
        <v>-3317889.0100000002</v>
      </c>
      <c r="AA514" s="92">
        <v>-3317889.01</v>
      </c>
      <c r="AB514" s="92">
        <f t="shared" si="72"/>
        <v>0</v>
      </c>
    </row>
    <row r="515" spans="1:28" x14ac:dyDescent="0.2">
      <c r="A515" s="95">
        <v>39813</v>
      </c>
      <c r="B515" s="141">
        <v>-77421</v>
      </c>
      <c r="C515" s="141">
        <v>-48448.91</v>
      </c>
      <c r="D515" s="141">
        <v>0</v>
      </c>
      <c r="E515" s="141">
        <f t="shared" si="73"/>
        <v>-28972.089999999997</v>
      </c>
      <c r="F515" s="141">
        <v>0</v>
      </c>
      <c r="G515" s="141">
        <f t="shared" si="74"/>
        <v>-28972.089999999997</v>
      </c>
      <c r="H515" s="141">
        <v>2060012.4</v>
      </c>
      <c r="I515" s="141"/>
      <c r="J515" s="91">
        <v>-15118.86</v>
      </c>
      <c r="K515" s="141">
        <v>-13453.86</v>
      </c>
      <c r="L515" s="146"/>
      <c r="M515" s="146">
        <v>-1665</v>
      </c>
      <c r="N515" s="146"/>
      <c r="O515" s="146"/>
      <c r="P515" s="141">
        <v>-177.04</v>
      </c>
      <c r="Q515" s="141"/>
      <c r="R515" s="141">
        <v>-3264.29</v>
      </c>
      <c r="S515" s="141"/>
      <c r="T515" s="141">
        <v>207991.82</v>
      </c>
      <c r="U515" s="141"/>
      <c r="V515" s="141">
        <v>0</v>
      </c>
      <c r="W515" s="141"/>
      <c r="X515" s="141"/>
      <c r="Y515" s="162"/>
      <c r="Z515" s="91">
        <f t="shared" si="75"/>
        <v>-2278416.1199999996</v>
      </c>
      <c r="AA515" s="92">
        <v>-2278416.12</v>
      </c>
      <c r="AB515" s="92">
        <f t="shared" si="72"/>
        <v>0</v>
      </c>
    </row>
    <row r="516" spans="1:28" x14ac:dyDescent="0.2">
      <c r="A516" s="95">
        <v>39903</v>
      </c>
      <c r="B516" s="141">
        <v>-21412</v>
      </c>
      <c r="C516" s="141">
        <v>-43814.52</v>
      </c>
      <c r="D516" s="141">
        <v>0</v>
      </c>
      <c r="E516" s="141">
        <f t="shared" si="73"/>
        <v>22402.519999999997</v>
      </c>
      <c r="F516" s="141">
        <v>0</v>
      </c>
      <c r="G516" s="141">
        <f t="shared" si="74"/>
        <v>22402.519999999997</v>
      </c>
      <c r="H516" s="141">
        <v>1482812.5</v>
      </c>
      <c r="I516" s="141"/>
      <c r="J516" s="91">
        <v>-2896.81</v>
      </c>
      <c r="K516" s="141">
        <v>-2600.81</v>
      </c>
      <c r="L516" s="146"/>
      <c r="M516" s="146">
        <v>-296</v>
      </c>
      <c r="N516" s="146"/>
      <c r="O516" s="146">
        <v>0</v>
      </c>
      <c r="P516" s="141">
        <v>1042.3499999999999</v>
      </c>
      <c r="Q516" s="141"/>
      <c r="R516" s="141">
        <v>333.73</v>
      </c>
      <c r="S516" s="141"/>
      <c r="T516" s="141">
        <v>127400.77</v>
      </c>
      <c r="U516" s="141"/>
      <c r="V516" s="141">
        <v>0</v>
      </c>
      <c r="W516" s="141"/>
      <c r="X516" s="141"/>
      <c r="Y516" s="162"/>
      <c r="Z516" s="91">
        <f t="shared" si="75"/>
        <v>-1586290.02</v>
      </c>
      <c r="AA516" s="92">
        <v>-1586290.02</v>
      </c>
      <c r="AB516" s="92">
        <f t="shared" si="72"/>
        <v>0</v>
      </c>
    </row>
    <row r="517" spans="1:28" x14ac:dyDescent="0.2">
      <c r="A517" s="95">
        <v>39994</v>
      </c>
      <c r="B517" s="141">
        <v>-130333</v>
      </c>
      <c r="C517" s="141">
        <v>24444.720000000001</v>
      </c>
      <c r="D517" s="141">
        <v>0</v>
      </c>
      <c r="E517" s="141">
        <f t="shared" si="73"/>
        <v>-154777.72</v>
      </c>
      <c r="F517" s="141">
        <v>0</v>
      </c>
      <c r="G517" s="141">
        <f t="shared" si="74"/>
        <v>-154777.72</v>
      </c>
      <c r="H517" s="141">
        <v>1872073.92</v>
      </c>
      <c r="I517" s="141"/>
      <c r="J517" s="91">
        <v>-17316.060000000001</v>
      </c>
      <c r="K517" s="141">
        <f>28475.07+-43490.61+-1345.52</f>
        <v>-16361.060000000001</v>
      </c>
      <c r="L517" s="146"/>
      <c r="M517" s="146">
        <f>-568+-142+-245</f>
        <v>-955</v>
      </c>
      <c r="N517" s="146"/>
      <c r="O517" s="146"/>
      <c r="P517" s="141">
        <v>442.56</v>
      </c>
      <c r="Q517" s="141"/>
      <c r="R517" s="141">
        <v>-1559.04</v>
      </c>
      <c r="S517" s="141"/>
      <c r="T517" s="141">
        <v>129326.19</v>
      </c>
      <c r="U517" s="141"/>
      <c r="V517" s="141">
        <v>0</v>
      </c>
      <c r="W517" s="141"/>
      <c r="X517" s="141"/>
      <c r="Y517" s="162"/>
      <c r="Z517" s="91">
        <f t="shared" si="75"/>
        <v>-2137745.29</v>
      </c>
      <c r="AA517" s="92">
        <v>-2137745.29</v>
      </c>
      <c r="AB517" s="92">
        <f t="shared" si="72"/>
        <v>0</v>
      </c>
    </row>
    <row r="518" spans="1:28" x14ac:dyDescent="0.2">
      <c r="A518" s="95">
        <v>40086</v>
      </c>
      <c r="B518" s="141">
        <v>-19539</v>
      </c>
      <c r="C518" s="141">
        <v>310669.7</v>
      </c>
      <c r="D518" s="141">
        <v>0</v>
      </c>
      <c r="E518" s="141">
        <f t="shared" si="73"/>
        <v>-330208.7</v>
      </c>
      <c r="F518" s="141">
        <v>0</v>
      </c>
      <c r="G518" s="141">
        <f t="shared" si="74"/>
        <v>-330208.7</v>
      </c>
      <c r="H518" s="141">
        <v>1179850.71</v>
      </c>
      <c r="I518" s="141"/>
      <c r="J518" s="91">
        <v>-2735.43</v>
      </c>
      <c r="K518" s="141">
        <f>-272.98+-1607.2+-93.25</f>
        <v>-1973.43</v>
      </c>
      <c r="L518" s="146"/>
      <c r="M518" s="146">
        <f>-268+-352+-142</f>
        <v>-762</v>
      </c>
      <c r="N518" s="146"/>
      <c r="O518" s="146"/>
      <c r="P518" s="141">
        <v>386.66</v>
      </c>
      <c r="Q518" s="141"/>
      <c r="R518" s="141">
        <v>-10541.12</v>
      </c>
      <c r="S518" s="141"/>
      <c r="T518" s="141">
        <v>130741.23</v>
      </c>
      <c r="U518" s="141"/>
      <c r="V518" s="141">
        <v>0</v>
      </c>
      <c r="W518" s="141"/>
      <c r="X518" s="141"/>
      <c r="Y518" s="162"/>
      <c r="Z518" s="91">
        <f t="shared" si="75"/>
        <v>-1627910.7499999998</v>
      </c>
      <c r="AA518" s="92">
        <v>-1627910.75</v>
      </c>
      <c r="AB518" s="92">
        <f t="shared" si="72"/>
        <v>0</v>
      </c>
    </row>
    <row r="519" spans="1:28" x14ac:dyDescent="0.2">
      <c r="A519" s="95">
        <v>40178</v>
      </c>
      <c r="B519" s="141">
        <v>217812</v>
      </c>
      <c r="C519" s="141">
        <v>-26538.94</v>
      </c>
      <c r="D519" s="141">
        <v>0</v>
      </c>
      <c r="E519" s="141">
        <f t="shared" si="73"/>
        <v>244350.94</v>
      </c>
      <c r="F519" s="141">
        <v>0</v>
      </c>
      <c r="G519" s="141">
        <f t="shared" si="74"/>
        <v>244350.94</v>
      </c>
      <c r="H519" s="141">
        <v>392128.35</v>
      </c>
      <c r="I519" s="141"/>
      <c r="J519" s="91">
        <v>44168.09</v>
      </c>
      <c r="K519" s="141">
        <v>44119.09</v>
      </c>
      <c r="L519" s="146"/>
      <c r="M519" s="146">
        <v>49</v>
      </c>
      <c r="N519" s="146"/>
      <c r="O519" s="146"/>
      <c r="P519" s="141">
        <v>82.7</v>
      </c>
      <c r="Q519" s="141"/>
      <c r="R519" s="141">
        <v>7821.65</v>
      </c>
      <c r="S519" s="141"/>
      <c r="T519" s="141">
        <v>104972.01</v>
      </c>
      <c r="U519" s="141"/>
      <c r="V519" s="141">
        <v>0</v>
      </c>
      <c r="W519" s="141"/>
      <c r="X519" s="141"/>
      <c r="Y519" s="162"/>
      <c r="Z519" s="91">
        <f t="shared" si="75"/>
        <v>-304821.86</v>
      </c>
      <c r="AA519" s="92">
        <v>-304821.86</v>
      </c>
      <c r="AB519" s="92">
        <f t="shared" si="72"/>
        <v>0</v>
      </c>
    </row>
    <row r="520" spans="1:28" x14ac:dyDescent="0.2">
      <c r="A520" s="140">
        <v>40268</v>
      </c>
      <c r="B520" s="141">
        <v>-7332</v>
      </c>
      <c r="C520" s="141">
        <v>-19859.919999999998</v>
      </c>
      <c r="D520" s="141">
        <v>0</v>
      </c>
      <c r="E520" s="141">
        <f t="shared" si="73"/>
        <v>12527.919999999998</v>
      </c>
      <c r="F520" s="141">
        <v>0</v>
      </c>
      <c r="G520" s="141">
        <f t="shared" si="74"/>
        <v>12527.919999999998</v>
      </c>
      <c r="H520" s="141">
        <v>246716.5</v>
      </c>
      <c r="I520" s="141"/>
      <c r="J520" s="91">
        <v>-861.62</v>
      </c>
      <c r="K520" s="141">
        <v>-861.62</v>
      </c>
      <c r="L520" s="146"/>
      <c r="M520" s="146">
        <v>0</v>
      </c>
      <c r="N520" s="146"/>
      <c r="O520" s="146"/>
      <c r="P520" s="141">
        <v>42.39</v>
      </c>
      <c r="Q520" s="141"/>
      <c r="R520" s="141">
        <v>19818.16</v>
      </c>
      <c r="S520" s="141"/>
      <c r="T520" s="141">
        <v>106246.98</v>
      </c>
      <c r="U520" s="141"/>
      <c r="V520" s="141">
        <v>0</v>
      </c>
      <c r="W520" s="141"/>
      <c r="X520" s="141"/>
      <c r="Y520" s="162"/>
      <c r="Z520" s="91">
        <f t="shared" si="75"/>
        <v>-359434.49000000005</v>
      </c>
      <c r="AA520" s="92">
        <v>-359434.49</v>
      </c>
      <c r="AB520" s="92">
        <f t="shared" si="72"/>
        <v>0</v>
      </c>
    </row>
    <row r="521" spans="1:28" x14ac:dyDescent="0.2">
      <c r="A521" s="95">
        <v>40359</v>
      </c>
      <c r="B521" s="141">
        <v>3996</v>
      </c>
      <c r="C521" s="141">
        <v>-19317.439999999999</v>
      </c>
      <c r="D521" s="141">
        <v>0</v>
      </c>
      <c r="E521" s="141">
        <f t="shared" si="73"/>
        <v>23313.439999999999</v>
      </c>
      <c r="F521" s="141">
        <v>0</v>
      </c>
      <c r="G521" s="141">
        <f t="shared" si="74"/>
        <v>23313.439999999999</v>
      </c>
      <c r="H521" s="141">
        <v>751757.23</v>
      </c>
      <c r="I521" s="141"/>
      <c r="J521" s="91">
        <v>386.77</v>
      </c>
      <c r="K521" s="141">
        <v>839.77</v>
      </c>
      <c r="L521" s="146"/>
      <c r="M521" s="146">
        <v>-453</v>
      </c>
      <c r="N521" s="146"/>
      <c r="O521" s="146"/>
      <c r="P521" s="141">
        <v>-1.63</v>
      </c>
      <c r="Q521" s="141"/>
      <c r="R521" s="141">
        <v>1221.98</v>
      </c>
      <c r="S521" s="141"/>
      <c r="T521" s="141">
        <v>55593.23</v>
      </c>
      <c r="U521" s="141"/>
      <c r="V521" s="141">
        <v>0</v>
      </c>
      <c r="W521" s="141"/>
      <c r="X521" s="141"/>
      <c r="Y521" s="162"/>
      <c r="Z521" s="91">
        <f t="shared" si="75"/>
        <v>-785644.14</v>
      </c>
      <c r="AA521" s="92">
        <v>-785644.14</v>
      </c>
      <c r="AB521" s="92">
        <f t="shared" si="72"/>
        <v>0</v>
      </c>
    </row>
    <row r="522" spans="1:28" x14ac:dyDescent="0.2">
      <c r="A522" s="140">
        <v>40451</v>
      </c>
      <c r="B522" s="141">
        <v>117676</v>
      </c>
      <c r="C522" s="141">
        <v>-2936.23</v>
      </c>
      <c r="D522" s="141">
        <v>0</v>
      </c>
      <c r="E522" s="141">
        <f t="shared" si="73"/>
        <v>120612.23</v>
      </c>
      <c r="F522" s="141">
        <v>0</v>
      </c>
      <c r="G522" s="141">
        <f t="shared" si="74"/>
        <v>120612.23</v>
      </c>
      <c r="H522" s="141">
        <v>307369.65000000002</v>
      </c>
      <c r="I522" s="141"/>
      <c r="J522" s="91">
        <v>21736.240000000002</v>
      </c>
      <c r="K522" s="141">
        <v>22020.240000000002</v>
      </c>
      <c r="L522" s="146"/>
      <c r="M522" s="146">
        <v>-284</v>
      </c>
      <c r="N522" s="146"/>
      <c r="O522" s="146">
        <v>0</v>
      </c>
      <c r="P522" s="141">
        <v>-1.42</v>
      </c>
      <c r="Q522" s="141"/>
      <c r="R522" s="141">
        <v>4996.1499999999996</v>
      </c>
      <c r="S522" s="141"/>
      <c r="T522" s="141">
        <v>31538.94</v>
      </c>
      <c r="U522" s="141"/>
      <c r="V522" s="141">
        <v>0</v>
      </c>
      <c r="W522" s="141"/>
      <c r="X522" s="141"/>
      <c r="Y522" s="162"/>
      <c r="Z522" s="91">
        <f t="shared" si="75"/>
        <v>-245027.33000000002</v>
      </c>
      <c r="AA522" s="92">
        <v>-245027.33</v>
      </c>
      <c r="AB522" s="92">
        <f t="shared" si="72"/>
        <v>0</v>
      </c>
    </row>
    <row r="523" spans="1:28" x14ac:dyDescent="0.2">
      <c r="A523" s="140">
        <v>40543</v>
      </c>
      <c r="B523" s="141">
        <v>-8950</v>
      </c>
      <c r="C523" s="141">
        <v>94642.26</v>
      </c>
      <c r="D523" s="141">
        <v>0</v>
      </c>
      <c r="E523" s="141">
        <f t="shared" si="73"/>
        <v>-103592.26</v>
      </c>
      <c r="F523" s="141">
        <v>0</v>
      </c>
      <c r="G523" s="141">
        <f t="shared" si="74"/>
        <v>-103592.26</v>
      </c>
      <c r="H523" s="141">
        <v>1350462.17</v>
      </c>
      <c r="I523" s="141"/>
      <c r="J523" s="91">
        <v>-1336.7</v>
      </c>
      <c r="K523" s="141">
        <v>-1762.7</v>
      </c>
      <c r="L523" s="146"/>
      <c r="M523" s="146">
        <v>426</v>
      </c>
      <c r="N523" s="146"/>
      <c r="O523" s="146">
        <v>0</v>
      </c>
      <c r="P523" s="141">
        <v>34.6</v>
      </c>
      <c r="Q523" s="141"/>
      <c r="R523" s="141">
        <v>3060.65</v>
      </c>
      <c r="S523" s="141"/>
      <c r="T523" s="141">
        <v>55758.62</v>
      </c>
      <c r="U523" s="141"/>
      <c r="V523" s="141">
        <v>0</v>
      </c>
      <c r="W523" s="141"/>
      <c r="X523" s="141"/>
      <c r="Y523" s="162"/>
      <c r="Z523" s="91">
        <f t="shared" si="75"/>
        <v>-1511571.6</v>
      </c>
      <c r="AA523" s="92">
        <v>-1511571.6</v>
      </c>
      <c r="AB523" s="92">
        <f t="shared" si="72"/>
        <v>0</v>
      </c>
    </row>
    <row r="524" spans="1:28" x14ac:dyDescent="0.2">
      <c r="A524" s="288">
        <v>40633</v>
      </c>
      <c r="B524" s="141">
        <v>-13</v>
      </c>
      <c r="C524" s="141">
        <v>141776.82</v>
      </c>
      <c r="D524" s="141">
        <v>0</v>
      </c>
      <c r="E524" s="141">
        <f t="shared" si="73"/>
        <v>-141789.82</v>
      </c>
      <c r="F524" s="141">
        <v>0</v>
      </c>
      <c r="G524" s="141">
        <f t="shared" si="74"/>
        <v>-141789.82</v>
      </c>
      <c r="H524" s="141">
        <v>535248.03</v>
      </c>
      <c r="I524" s="141"/>
      <c r="J524" s="91">
        <v>-2.82</v>
      </c>
      <c r="K524" s="141">
        <v>-2.82</v>
      </c>
      <c r="L524" s="146"/>
      <c r="M524" s="146">
        <v>0</v>
      </c>
      <c r="N524" s="146"/>
      <c r="O524" s="146">
        <v>0</v>
      </c>
      <c r="P524" s="141">
        <v>8.67</v>
      </c>
      <c r="Q524" s="141"/>
      <c r="R524" s="141">
        <v>323.48</v>
      </c>
      <c r="S524" s="141"/>
      <c r="T524" s="141">
        <v>36330.28</v>
      </c>
      <c r="U524" s="141"/>
      <c r="V524" s="141">
        <v>0</v>
      </c>
      <c r="W524" s="141"/>
      <c r="X524" s="141"/>
      <c r="Y524" s="162"/>
      <c r="Z524" s="91">
        <f t="shared" si="75"/>
        <v>-713697.4600000002</v>
      </c>
      <c r="AA524" s="92">
        <v>-713697.46</v>
      </c>
      <c r="AB524" s="92">
        <f t="shared" si="72"/>
        <v>0</v>
      </c>
    </row>
    <row r="525" spans="1:28" x14ac:dyDescent="0.2">
      <c r="A525" s="288">
        <v>40724</v>
      </c>
      <c r="B525" s="141">
        <v>19345</v>
      </c>
      <c r="C525" s="141">
        <v>25807.29</v>
      </c>
      <c r="D525" s="141">
        <v>0</v>
      </c>
      <c r="E525" s="141">
        <f t="shared" si="73"/>
        <v>-6462.2900000000009</v>
      </c>
      <c r="F525" s="141">
        <v>0</v>
      </c>
      <c r="G525" s="141">
        <f t="shared" si="74"/>
        <v>-6462.2900000000009</v>
      </c>
      <c r="H525" s="141">
        <v>143181.37</v>
      </c>
      <c r="I525" s="141"/>
      <c r="J525" s="91">
        <v>3486.8</v>
      </c>
      <c r="K525" s="141">
        <v>3612.8</v>
      </c>
      <c r="L525" s="146"/>
      <c r="M525" s="146">
        <v>-126</v>
      </c>
      <c r="N525" s="146"/>
      <c r="O525" s="146"/>
      <c r="P525" s="141">
        <v>23.73</v>
      </c>
      <c r="Q525" s="141"/>
      <c r="R525" s="141">
        <v>194.09</v>
      </c>
      <c r="S525" s="141"/>
      <c r="T525" s="141">
        <v>46244.3</v>
      </c>
      <c r="U525" s="141"/>
      <c r="V525" s="141">
        <v>0</v>
      </c>
      <c r="W525" s="141"/>
      <c r="X525" s="141"/>
      <c r="Y525" s="162"/>
      <c r="Z525" s="91">
        <f t="shared" si="75"/>
        <v>-199592.58000000002</v>
      </c>
      <c r="AA525" s="92">
        <v>-199572.58</v>
      </c>
      <c r="AB525" s="92">
        <f t="shared" si="72"/>
        <v>-20.000000000029104</v>
      </c>
    </row>
    <row r="526" spans="1:28" x14ac:dyDescent="0.2">
      <c r="A526" s="288">
        <v>40816</v>
      </c>
      <c r="B526" s="141">
        <v>-14535</v>
      </c>
      <c r="C526" s="141">
        <v>-19110.2</v>
      </c>
      <c r="D526" s="141">
        <v>0</v>
      </c>
      <c r="E526" s="141">
        <f t="shared" si="73"/>
        <v>4575.2000000000007</v>
      </c>
      <c r="F526" s="141">
        <v>0</v>
      </c>
      <c r="G526" s="141">
        <f t="shared" si="74"/>
        <v>4575.2000000000007</v>
      </c>
      <c r="H526" s="141">
        <v>202022.67</v>
      </c>
      <c r="I526" s="141"/>
      <c r="J526" s="91">
        <v>-2732.57</v>
      </c>
      <c r="K526" s="141">
        <v>-2732.57</v>
      </c>
      <c r="L526" s="146"/>
      <c r="M526" s="146">
        <v>0</v>
      </c>
      <c r="N526" s="146"/>
      <c r="O526" s="146">
        <v>0</v>
      </c>
      <c r="P526" s="141">
        <v>18.02</v>
      </c>
      <c r="Q526" s="141"/>
      <c r="R526" s="141">
        <v>241.73</v>
      </c>
      <c r="S526" s="141"/>
      <c r="T526" s="141">
        <v>22188.44</v>
      </c>
      <c r="U526" s="141"/>
      <c r="V526" s="141">
        <v>0</v>
      </c>
      <c r="W526" s="141"/>
      <c r="X526" s="141"/>
      <c r="Y526" s="162"/>
      <c r="Z526" s="91">
        <f t="shared" si="75"/>
        <v>-217163.09</v>
      </c>
      <c r="AA526" s="92">
        <v>-217163.09</v>
      </c>
      <c r="AB526" s="92">
        <f t="shared" si="72"/>
        <v>0</v>
      </c>
    </row>
    <row r="527" spans="1:28" x14ac:dyDescent="0.2">
      <c r="A527" s="288">
        <v>40908</v>
      </c>
      <c r="B527" s="141">
        <v>-52</v>
      </c>
      <c r="C527" s="141">
        <v>-5950.4</v>
      </c>
      <c r="D527" s="141">
        <v>0</v>
      </c>
      <c r="E527" s="141">
        <f t="shared" si="73"/>
        <v>5898.4</v>
      </c>
      <c r="F527" s="141">
        <v>0</v>
      </c>
      <c r="G527" s="141">
        <f t="shared" si="74"/>
        <v>5898.4</v>
      </c>
      <c r="H527" s="141">
        <v>218016.41</v>
      </c>
      <c r="I527" s="141"/>
      <c r="J527" s="91">
        <v>-3087.18</v>
      </c>
      <c r="K527" s="141">
        <v>-9.7799999999999994</v>
      </c>
      <c r="L527" s="146"/>
      <c r="M527" s="146">
        <v>0</v>
      </c>
      <c r="N527" s="146"/>
      <c r="O527" s="146">
        <v>-3077.4</v>
      </c>
      <c r="P527" s="141">
        <v>10.61</v>
      </c>
      <c r="Q527" s="141"/>
      <c r="R527" s="141">
        <v>-73.709999999999994</v>
      </c>
      <c r="S527" s="141"/>
      <c r="T527" s="141">
        <v>30893.41</v>
      </c>
      <c r="U527" s="141"/>
      <c r="V527" s="141">
        <v>0</v>
      </c>
      <c r="W527" s="141"/>
      <c r="X527" s="141"/>
      <c r="Y527" s="162"/>
      <c r="Z527" s="91">
        <f t="shared" si="75"/>
        <v>-239861.14</v>
      </c>
      <c r="AA527" s="92">
        <v>-239861.14</v>
      </c>
      <c r="AB527" s="92">
        <f t="shared" si="72"/>
        <v>0</v>
      </c>
    </row>
    <row r="528" spans="1:28" x14ac:dyDescent="0.2">
      <c r="A528" s="288">
        <v>40999</v>
      </c>
      <c r="B528" s="141">
        <v>0</v>
      </c>
      <c r="C528" s="141">
        <v>-6384.19</v>
      </c>
      <c r="D528" s="141">
        <v>0</v>
      </c>
      <c r="E528" s="141">
        <f t="shared" si="73"/>
        <v>6384.19</v>
      </c>
      <c r="F528" s="141">
        <v>0</v>
      </c>
      <c r="G528" s="141">
        <f t="shared" si="74"/>
        <v>6384.19</v>
      </c>
      <c r="H528" s="141">
        <v>136454.07</v>
      </c>
      <c r="I528" s="141"/>
      <c r="J528" s="91">
        <v>0</v>
      </c>
      <c r="K528" s="141">
        <v>0</v>
      </c>
      <c r="L528" s="146"/>
      <c r="M528" s="146">
        <v>0</v>
      </c>
      <c r="N528" s="146"/>
      <c r="O528" s="146">
        <v>0</v>
      </c>
      <c r="P528" s="141">
        <v>0</v>
      </c>
      <c r="Q528" s="141"/>
      <c r="R528" s="141">
        <v>679.74</v>
      </c>
      <c r="S528" s="141"/>
      <c r="T528" s="141">
        <v>17809.41</v>
      </c>
      <c r="U528" s="141"/>
      <c r="V528" s="141">
        <v>0</v>
      </c>
      <c r="W528" s="141"/>
      <c r="X528" s="141"/>
      <c r="Y528" s="162"/>
      <c r="Z528" s="91">
        <f t="shared" si="75"/>
        <v>-148559.03</v>
      </c>
      <c r="AA528" s="92">
        <v>-148559.03</v>
      </c>
      <c r="AB528" s="92">
        <f t="shared" si="72"/>
        <v>0</v>
      </c>
    </row>
    <row r="529" spans="1:29" x14ac:dyDescent="0.2">
      <c r="A529" s="288">
        <v>41090</v>
      </c>
      <c r="B529" s="141">
        <v>4927</v>
      </c>
      <c r="C529" s="141">
        <v>-8261.6200000000008</v>
      </c>
      <c r="D529" s="141">
        <v>0</v>
      </c>
      <c r="E529" s="141">
        <f t="shared" si="73"/>
        <v>13188.62</v>
      </c>
      <c r="F529" s="141">
        <v>0</v>
      </c>
      <c r="G529" s="141">
        <f t="shared" si="74"/>
        <v>13188.62</v>
      </c>
      <c r="H529" s="141">
        <v>439975.03</v>
      </c>
      <c r="I529" s="141"/>
      <c r="J529" s="91">
        <v>923.65</v>
      </c>
      <c r="K529" s="141">
        <v>923.65</v>
      </c>
      <c r="L529" s="146"/>
      <c r="M529" s="146">
        <v>0</v>
      </c>
      <c r="N529" s="146"/>
      <c r="O529" s="146">
        <v>0</v>
      </c>
      <c r="P529" s="141">
        <v>0</v>
      </c>
      <c r="Q529" s="141"/>
      <c r="R529" s="141">
        <v>697.92</v>
      </c>
      <c r="S529" s="141"/>
      <c r="T529" s="141">
        <v>21905.25</v>
      </c>
      <c r="U529" s="141"/>
      <c r="V529" s="141">
        <v>0</v>
      </c>
      <c r="W529" s="141"/>
      <c r="X529" s="141"/>
      <c r="Y529" s="162"/>
      <c r="Z529" s="91">
        <f t="shared" si="75"/>
        <v>-450313.23000000004</v>
      </c>
      <c r="AA529" s="92">
        <v>-450313.23</v>
      </c>
      <c r="AB529" s="92">
        <f t="shared" si="72"/>
        <v>0</v>
      </c>
    </row>
    <row r="530" spans="1:29" x14ac:dyDescent="0.2">
      <c r="A530" s="288">
        <v>41182</v>
      </c>
      <c r="B530" s="141">
        <v>-3739</v>
      </c>
      <c r="C530" s="141">
        <v>-16628.95</v>
      </c>
      <c r="D530" s="141">
        <v>0</v>
      </c>
      <c r="E530" s="141">
        <f t="shared" si="73"/>
        <v>12889.95</v>
      </c>
      <c r="F530" s="141">
        <v>0</v>
      </c>
      <c r="G530" s="141">
        <f t="shared" si="74"/>
        <v>12889.95</v>
      </c>
      <c r="H530" s="141">
        <v>75897.19</v>
      </c>
      <c r="I530" s="141"/>
      <c r="J530" s="91">
        <v>-814.1</v>
      </c>
      <c r="K530" s="141">
        <f>-609.31-62.79</f>
        <v>-672.09999999999991</v>
      </c>
      <c r="L530" s="146"/>
      <c r="M530" s="146">
        <v>-142</v>
      </c>
      <c r="N530" s="146"/>
      <c r="O530" s="146">
        <v>0</v>
      </c>
      <c r="P530" s="141">
        <v>0</v>
      </c>
      <c r="Q530" s="141"/>
      <c r="R530" s="141">
        <v>515.89</v>
      </c>
      <c r="S530" s="141"/>
      <c r="T530" s="141">
        <v>13163.16</v>
      </c>
      <c r="U530" s="141"/>
      <c r="V530" s="141">
        <v>0</v>
      </c>
      <c r="W530" s="141"/>
      <c r="X530" s="141"/>
      <c r="Y530" s="162"/>
      <c r="Z530" s="91">
        <f t="shared" si="75"/>
        <v>-75872.19</v>
      </c>
      <c r="AA530" s="92">
        <v>-75872.19</v>
      </c>
      <c r="AB530" s="92">
        <f t="shared" si="72"/>
        <v>0</v>
      </c>
    </row>
    <row r="531" spans="1:29" x14ac:dyDescent="0.2">
      <c r="A531" s="288">
        <v>41274</v>
      </c>
      <c r="B531" s="141">
        <v>1198</v>
      </c>
      <c r="C531" s="141">
        <v>-8026.31</v>
      </c>
      <c r="D531" s="141">
        <v>0</v>
      </c>
      <c r="E531" s="141">
        <f t="shared" si="73"/>
        <v>9224.3100000000013</v>
      </c>
      <c r="F531" s="141">
        <v>0</v>
      </c>
      <c r="G531" s="141">
        <f t="shared" si="74"/>
        <v>9224.3100000000013</v>
      </c>
      <c r="H531" s="141">
        <v>437657.95</v>
      </c>
      <c r="I531" s="141"/>
      <c r="J531" s="91">
        <v>224.29</v>
      </c>
      <c r="K531" s="141">
        <v>224.29</v>
      </c>
      <c r="L531" s="146"/>
      <c r="M531" s="146">
        <v>0</v>
      </c>
      <c r="N531" s="146"/>
      <c r="O531" s="146">
        <v>0</v>
      </c>
      <c r="P531" s="141">
        <v>0</v>
      </c>
      <c r="Q531" s="141"/>
      <c r="R531" s="141">
        <v>440.27</v>
      </c>
      <c r="S531" s="141"/>
      <c r="T531" s="141">
        <v>11154.46</v>
      </c>
      <c r="U531" s="141"/>
      <c r="V531" s="141">
        <v>0</v>
      </c>
      <c r="W531" s="141"/>
      <c r="X531" s="141"/>
      <c r="Y531" s="162"/>
      <c r="Z531" s="91">
        <f t="shared" si="75"/>
        <v>-440252.66000000003</v>
      </c>
      <c r="AA531" s="92">
        <v>-440252.66</v>
      </c>
      <c r="AB531" s="92">
        <f t="shared" si="72"/>
        <v>0</v>
      </c>
    </row>
    <row r="532" spans="1:29" x14ac:dyDescent="0.2">
      <c r="A532" s="288">
        <v>41364</v>
      </c>
      <c r="B532" s="141">
        <v>0</v>
      </c>
      <c r="C532" s="141">
        <v>-889.03</v>
      </c>
      <c r="D532" s="141">
        <v>0</v>
      </c>
      <c r="E532" s="141">
        <f t="shared" si="73"/>
        <v>889.03</v>
      </c>
      <c r="F532" s="141">
        <v>0</v>
      </c>
      <c r="G532" s="141">
        <f t="shared" si="74"/>
        <v>889.03</v>
      </c>
      <c r="H532" s="141">
        <v>49351.360000000001</v>
      </c>
      <c r="I532" s="141"/>
      <c r="J532" s="91">
        <v>0</v>
      </c>
      <c r="K532" s="141">
        <v>0</v>
      </c>
      <c r="L532" s="146"/>
      <c r="M532" s="146">
        <v>0</v>
      </c>
      <c r="N532" s="146"/>
      <c r="O532" s="146">
        <v>0</v>
      </c>
      <c r="P532" s="141">
        <v>0</v>
      </c>
      <c r="Q532" s="141"/>
      <c r="R532" s="141">
        <v>58.78</v>
      </c>
      <c r="S532" s="141"/>
      <c r="T532" s="141">
        <v>14197.07</v>
      </c>
      <c r="U532" s="141"/>
      <c r="V532" s="141">
        <v>0</v>
      </c>
      <c r="W532" s="141"/>
      <c r="X532" s="141"/>
      <c r="Y532" s="162"/>
      <c r="Z532" s="91">
        <f t="shared" si="75"/>
        <v>-62718.18</v>
      </c>
      <c r="AA532" s="92">
        <v>-62718.18</v>
      </c>
      <c r="AB532" s="92">
        <f t="shared" si="72"/>
        <v>0</v>
      </c>
    </row>
    <row r="533" spans="1:29" x14ac:dyDescent="0.2">
      <c r="A533" s="288">
        <v>41455</v>
      </c>
      <c r="B533" s="141">
        <v>827</v>
      </c>
      <c r="C533" s="141">
        <v>-1559.36</v>
      </c>
      <c r="D533" s="141">
        <v>0</v>
      </c>
      <c r="E533" s="141">
        <f t="shared" si="73"/>
        <v>2386.3599999999997</v>
      </c>
      <c r="F533" s="141">
        <v>0</v>
      </c>
      <c r="G533" s="141">
        <f t="shared" si="74"/>
        <v>2386.3599999999997</v>
      </c>
      <c r="H533" s="141">
        <v>1645808.38</v>
      </c>
      <c r="I533" s="141"/>
      <c r="J533" s="91">
        <v>154.91999999999999</v>
      </c>
      <c r="K533" s="141">
        <v>154.91999999999999</v>
      </c>
      <c r="L533" s="146"/>
      <c r="M533" s="146">
        <v>0</v>
      </c>
      <c r="N533" s="146"/>
      <c r="O533" s="146">
        <v>0</v>
      </c>
      <c r="P533" s="141">
        <v>0</v>
      </c>
      <c r="Q533" s="141"/>
      <c r="R533" s="141">
        <v>-279.88</v>
      </c>
      <c r="S533" s="141"/>
      <c r="T533" s="141">
        <v>25121.56</v>
      </c>
      <c r="U533" s="141"/>
      <c r="V533" s="141">
        <v>0</v>
      </c>
      <c r="W533" s="141"/>
      <c r="X533" s="141"/>
      <c r="Y533" s="162"/>
      <c r="Z533" s="91">
        <f t="shared" si="75"/>
        <v>-1668418.6199999999</v>
      </c>
      <c r="AA533" s="92">
        <v>-1668418.62</v>
      </c>
      <c r="AB533" s="92">
        <f t="shared" si="72"/>
        <v>0</v>
      </c>
    </row>
    <row r="534" spans="1:29" x14ac:dyDescent="0.2">
      <c r="A534" s="288">
        <v>41547</v>
      </c>
      <c r="B534" s="141">
        <v>14005</v>
      </c>
      <c r="C534" s="141">
        <v>-201.89</v>
      </c>
      <c r="D534" s="141">
        <v>0</v>
      </c>
      <c r="E534" s="141">
        <f t="shared" si="73"/>
        <v>14206.89</v>
      </c>
      <c r="F534" s="141">
        <v>0</v>
      </c>
      <c r="G534" s="141">
        <f t="shared" si="74"/>
        <v>14206.89</v>
      </c>
      <c r="H534" s="141">
        <v>478448.69</v>
      </c>
      <c r="I534" s="141"/>
      <c r="J534" s="91">
        <v>2632.94</v>
      </c>
      <c r="K534" s="141">
        <v>2632.94</v>
      </c>
      <c r="L534" s="146"/>
      <c r="M534" s="146">
        <v>0</v>
      </c>
      <c r="N534" s="146"/>
      <c r="O534" s="146">
        <v>0</v>
      </c>
      <c r="P534" s="141">
        <v>0</v>
      </c>
      <c r="Q534" s="141"/>
      <c r="R534" s="141">
        <v>-122.2</v>
      </c>
      <c r="S534" s="141"/>
      <c r="T534" s="141">
        <v>25473.11</v>
      </c>
      <c r="U534" s="141"/>
      <c r="V534" s="141">
        <v>0</v>
      </c>
      <c r="W534" s="141"/>
      <c r="X534" s="141"/>
      <c r="Y534" s="162"/>
      <c r="Z534" s="91">
        <f t="shared" si="75"/>
        <v>-492225.64999999997</v>
      </c>
      <c r="AA534" s="92">
        <v>-492225.65</v>
      </c>
      <c r="AB534" s="92">
        <f t="shared" si="72"/>
        <v>0</v>
      </c>
    </row>
    <row r="535" spans="1:29" x14ac:dyDescent="0.2">
      <c r="A535" s="135"/>
      <c r="B535" s="163">
        <f>SUM(B504:B534)</f>
        <v>81649487.999999985</v>
      </c>
      <c r="C535" s="163">
        <f>SUM(C504:C534)</f>
        <v>2770773.9899999998</v>
      </c>
      <c r="D535" s="163">
        <f>D531</f>
        <v>0</v>
      </c>
      <c r="E535" s="163">
        <f>SUM(E504:E534)</f>
        <v>185984542.98000002</v>
      </c>
      <c r="F535" s="163">
        <f>F531</f>
        <v>0</v>
      </c>
      <c r="G535" s="163">
        <f>SUM(G504:G534)</f>
        <v>94019416.220000014</v>
      </c>
      <c r="H535" s="163">
        <f>SUM(H504:H534)</f>
        <v>36649841.120000005</v>
      </c>
      <c r="I535" s="163"/>
      <c r="J535" s="163">
        <f>SUM(J504:J534)</f>
        <v>18889115.880000006</v>
      </c>
      <c r="K535" s="163">
        <f>SUM(K504:K534)</f>
        <v>13266852.279999999</v>
      </c>
      <c r="L535" s="137">
        <f>K535/G535</f>
        <v>0.14110757983176933</v>
      </c>
      <c r="M535" s="163">
        <f>SUM(M504:M534)</f>
        <v>5625341</v>
      </c>
      <c r="N535" s="129">
        <f>M535/G535</f>
        <v>5.9831694623980927E-2</v>
      </c>
      <c r="O535" s="163">
        <f>SUM(O504:O521)</f>
        <v>0</v>
      </c>
      <c r="P535" s="163">
        <f>SUM(P504:P534)</f>
        <v>1127746.1600000004</v>
      </c>
      <c r="Q535" s="129">
        <f>P535/G535</f>
        <v>1.1994821977634273E-2</v>
      </c>
      <c r="R535" s="163">
        <f>SUM(R504:R534)</f>
        <v>3598881.42</v>
      </c>
      <c r="S535" s="97">
        <f>R535/G535</f>
        <v>3.8278066006906752E-2</v>
      </c>
      <c r="T535" s="163">
        <f>SUM(T504:T534)</f>
        <v>4132382.419999999</v>
      </c>
      <c r="U535" s="129">
        <f>T535/G535</f>
        <v>4.3952436487485334E-2</v>
      </c>
      <c r="V535" s="163">
        <f>SUM(V504:V534)</f>
        <v>232288.40999999997</v>
      </c>
      <c r="W535" s="97">
        <f>V535/G535</f>
        <v>2.4706429728989007E-3</v>
      </c>
      <c r="X535" s="163">
        <f>SUM(X504:X521)</f>
        <v>227800</v>
      </c>
      <c r="Y535" s="163">
        <f>SUM(Y504:Y521)</f>
        <v>0</v>
      </c>
      <c r="Z535" s="163">
        <f>SUM(Z504:Z534)</f>
        <v>14713035.419999991</v>
      </c>
    </row>
    <row r="536" spans="1:29" x14ac:dyDescent="0.2">
      <c r="A536" s="98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100"/>
      <c r="M536" s="100"/>
      <c r="N536" s="100"/>
      <c r="O536" s="100"/>
      <c r="P536" s="99"/>
      <c r="Q536" s="99"/>
      <c r="R536" s="99"/>
      <c r="S536" s="99"/>
      <c r="T536" s="99"/>
      <c r="U536" s="99"/>
      <c r="V536" s="99"/>
      <c r="W536" s="99"/>
      <c r="X536" s="99"/>
      <c r="Y536" s="99"/>
      <c r="Z536" s="153">
        <f>B535-C535-H535-J535-P535-R535-T535+V535</f>
        <v>14713035.419999979</v>
      </c>
    </row>
    <row r="537" spans="1:29" s="157" customFormat="1" x14ac:dyDescent="0.2">
      <c r="A537" s="154" t="s">
        <v>199</v>
      </c>
      <c r="B537" s="125"/>
      <c r="C537" s="125"/>
      <c r="D537" s="138"/>
      <c r="E537" s="138"/>
      <c r="F537" s="138"/>
      <c r="G537" s="138"/>
      <c r="H537" s="125"/>
      <c r="I537" s="125"/>
      <c r="J537" s="125"/>
      <c r="K537" s="125"/>
      <c r="L537" s="130"/>
      <c r="M537" s="130"/>
      <c r="N537" s="130"/>
      <c r="O537" s="130"/>
      <c r="P537" s="125"/>
      <c r="Q537" s="125"/>
      <c r="R537" s="125"/>
      <c r="S537" s="125"/>
      <c r="T537" s="125"/>
      <c r="U537" s="125"/>
      <c r="V537" s="125"/>
      <c r="W537" s="155"/>
      <c r="X537" s="155"/>
      <c r="Y537" s="155"/>
      <c r="Z537" s="156" t="str">
        <f>IF(Z536=Z535,"Check","NO")</f>
        <v>Check</v>
      </c>
      <c r="AA537" s="85"/>
      <c r="AB537" s="85"/>
      <c r="AC537" s="85"/>
    </row>
    <row r="538" spans="1:29" ht="38.25" x14ac:dyDescent="0.2">
      <c r="A538" s="86" t="s">
        <v>143</v>
      </c>
      <c r="B538" s="87" t="s">
        <v>144</v>
      </c>
      <c r="C538" s="87" t="s">
        <v>145</v>
      </c>
      <c r="D538" s="87" t="s">
        <v>170</v>
      </c>
      <c r="E538" s="87" t="s">
        <v>171</v>
      </c>
      <c r="F538" s="87" t="s">
        <v>172</v>
      </c>
      <c r="G538" s="87" t="s">
        <v>146</v>
      </c>
      <c r="H538" s="87" t="s">
        <v>147</v>
      </c>
      <c r="I538" s="87" t="s">
        <v>148</v>
      </c>
      <c r="J538" s="87" t="s">
        <v>169</v>
      </c>
      <c r="K538" s="87" t="s">
        <v>136</v>
      </c>
      <c r="L538" s="87" t="s">
        <v>149</v>
      </c>
      <c r="M538" s="87" t="s">
        <v>163</v>
      </c>
      <c r="N538" s="87" t="s">
        <v>164</v>
      </c>
      <c r="O538" s="87" t="s">
        <v>207</v>
      </c>
      <c r="P538" s="87" t="s">
        <v>150</v>
      </c>
      <c r="Q538" s="87" t="s">
        <v>151</v>
      </c>
      <c r="R538" s="87" t="s">
        <v>152</v>
      </c>
      <c r="S538" s="87" t="s">
        <v>153</v>
      </c>
      <c r="T538" s="87" t="s">
        <v>154</v>
      </c>
      <c r="U538" s="87" t="s">
        <v>155</v>
      </c>
      <c r="V538" s="87" t="s">
        <v>156</v>
      </c>
      <c r="W538" s="87" t="s">
        <v>157</v>
      </c>
      <c r="X538" s="87" t="s">
        <v>165</v>
      </c>
      <c r="Y538" s="87" t="s">
        <v>166</v>
      </c>
      <c r="Z538" s="87" t="s">
        <v>158</v>
      </c>
      <c r="AA538" s="87" t="s">
        <v>173</v>
      </c>
      <c r="AB538" s="87" t="s">
        <v>175</v>
      </c>
    </row>
    <row r="539" spans="1:29" x14ac:dyDescent="0.2">
      <c r="A539" s="140">
        <v>39172</v>
      </c>
      <c r="B539" s="141">
        <v>15005200.51</v>
      </c>
      <c r="C539" s="141">
        <v>0</v>
      </c>
      <c r="D539" s="141">
        <v>0</v>
      </c>
      <c r="E539" s="141">
        <f t="shared" ref="E539:E565" si="76">B539-C539+D539</f>
        <v>15005200.51</v>
      </c>
      <c r="F539" s="141">
        <v>11989307.08</v>
      </c>
      <c r="G539" s="141">
        <f t="shared" ref="G539:G565" si="77">E539-F539</f>
        <v>3015893.4299999997</v>
      </c>
      <c r="H539" s="141">
        <v>40236.15</v>
      </c>
      <c r="I539" s="141"/>
      <c r="J539" s="91">
        <v>3817989.24</v>
      </c>
      <c r="K539" s="141">
        <v>2345855.15</v>
      </c>
      <c r="L539" s="146">
        <f>K539/G539</f>
        <v>0.77783091626019429</v>
      </c>
      <c r="M539" s="146">
        <v>1350385.46</v>
      </c>
      <c r="N539" s="146"/>
      <c r="O539" s="146">
        <v>121748.63</v>
      </c>
      <c r="P539" s="141">
        <v>305219.61</v>
      </c>
      <c r="Q539" s="141"/>
      <c r="R539" s="141">
        <v>780585.26</v>
      </c>
      <c r="S539" s="141"/>
      <c r="T539" s="141">
        <v>4846.2299999999996</v>
      </c>
      <c r="U539" s="141"/>
      <c r="V539" s="141">
        <v>35736.589999999997</v>
      </c>
      <c r="W539" s="141"/>
      <c r="X539" s="141"/>
      <c r="Y539" s="162"/>
      <c r="Z539" s="91">
        <f>B539-C539-H539-J539-P539-R539-T539+V539</f>
        <v>10092060.609999999</v>
      </c>
      <c r="AA539" s="92">
        <v>10092060.609999999</v>
      </c>
      <c r="AB539" s="92">
        <f t="shared" ref="AB539:AB560" si="78">Z539-AA539</f>
        <v>0</v>
      </c>
    </row>
    <row r="540" spans="1:29" x14ac:dyDescent="0.2">
      <c r="A540" s="140">
        <v>39263</v>
      </c>
      <c r="B540" s="141">
        <v>17168040.949999999</v>
      </c>
      <c r="C540" s="141">
        <v>0</v>
      </c>
      <c r="D540" s="141">
        <v>11989307.08</v>
      </c>
      <c r="E540" s="141">
        <f t="shared" si="76"/>
        <v>29157348.030000001</v>
      </c>
      <c r="F540" s="141">
        <v>21273519.59</v>
      </c>
      <c r="G540" s="141">
        <f t="shared" si="77"/>
        <v>7883828.4400000013</v>
      </c>
      <c r="H540" s="141">
        <v>352660.49</v>
      </c>
      <c r="I540" s="141"/>
      <c r="J540" s="91">
        <v>4295491.93</v>
      </c>
      <c r="K540" s="141">
        <v>2765911.86</v>
      </c>
      <c r="L540" s="146"/>
      <c r="M540" s="146">
        <v>1442457.49</v>
      </c>
      <c r="N540" s="146"/>
      <c r="O540" s="146">
        <v>87122.58</v>
      </c>
      <c r="P540" s="141">
        <v>235152.95</v>
      </c>
      <c r="Q540" s="141"/>
      <c r="R540" s="141">
        <v>831903.8</v>
      </c>
      <c r="S540" s="141"/>
      <c r="T540" s="141">
        <v>44023.4</v>
      </c>
      <c r="U540" s="141"/>
      <c r="V540" s="141">
        <v>40586.870000000003</v>
      </c>
      <c r="W540" s="141"/>
      <c r="X540" s="141"/>
      <c r="Y540" s="162"/>
      <c r="Z540" s="91">
        <f t="shared" ref="Z540:Z565" si="79">B540-C540-H540-J540-P540-R540-T540+V540</f>
        <v>11449395.25</v>
      </c>
      <c r="AA540" s="92">
        <v>11449395.25</v>
      </c>
      <c r="AB540" s="92">
        <f t="shared" si="78"/>
        <v>0</v>
      </c>
    </row>
    <row r="541" spans="1:29" x14ac:dyDescent="0.2">
      <c r="A541" s="140">
        <v>39355</v>
      </c>
      <c r="B541" s="141">
        <v>16922025.82</v>
      </c>
      <c r="C541" s="141">
        <v>265</v>
      </c>
      <c r="D541" s="141">
        <v>21273519.59</v>
      </c>
      <c r="E541" s="141">
        <f t="shared" si="76"/>
        <v>38195280.409999996</v>
      </c>
      <c r="F541" s="141">
        <v>25580297.219999999</v>
      </c>
      <c r="G541" s="141">
        <f t="shared" si="77"/>
        <v>12614983.189999998</v>
      </c>
      <c r="H541" s="141">
        <v>1315743.78</v>
      </c>
      <c r="I541" s="141"/>
      <c r="J541" s="91">
        <v>4150210.44</v>
      </c>
      <c r="K541" s="141">
        <v>2706669.53</v>
      </c>
      <c r="L541" s="146"/>
      <c r="M541" s="146">
        <v>1347668.37</v>
      </c>
      <c r="N541" s="146"/>
      <c r="O541" s="146">
        <v>95872.54</v>
      </c>
      <c r="P541" s="141">
        <v>415963.39</v>
      </c>
      <c r="Q541" s="141"/>
      <c r="R541" s="141">
        <v>805816</v>
      </c>
      <c r="S541" s="141"/>
      <c r="T541" s="141">
        <v>151423.04000000001</v>
      </c>
      <c r="U541" s="141"/>
      <c r="V541" s="141">
        <v>30530.27</v>
      </c>
      <c r="W541" s="141"/>
      <c r="X541" s="141"/>
      <c r="Y541" s="162"/>
      <c r="Z541" s="91">
        <f t="shared" si="79"/>
        <v>10113134.440000001</v>
      </c>
      <c r="AA541" s="92">
        <v>10113134.439999999</v>
      </c>
      <c r="AB541" s="92">
        <f t="shared" si="78"/>
        <v>0</v>
      </c>
    </row>
    <row r="542" spans="1:29" x14ac:dyDescent="0.2">
      <c r="A542" s="95">
        <v>39447</v>
      </c>
      <c r="B542" s="141">
        <v>13245390.130000001</v>
      </c>
      <c r="C542" s="141">
        <v>18338.09</v>
      </c>
      <c r="D542" s="141">
        <v>25580297.219999999</v>
      </c>
      <c r="E542" s="141">
        <f t="shared" si="76"/>
        <v>38807349.259999998</v>
      </c>
      <c r="F542" s="141">
        <v>23378916.800000001</v>
      </c>
      <c r="G542" s="141">
        <f t="shared" si="77"/>
        <v>15428432.459999997</v>
      </c>
      <c r="H542" s="141">
        <v>1610731.19</v>
      </c>
      <c r="I542" s="141"/>
      <c r="J542" s="91">
        <v>3445324.02</v>
      </c>
      <c r="K542" s="164">
        <v>2105162.84</v>
      </c>
      <c r="L542" s="165"/>
      <c r="M542" s="165">
        <v>1248724.3</v>
      </c>
      <c r="N542" s="146"/>
      <c r="O542" s="146">
        <v>91436.88</v>
      </c>
      <c r="P542" s="141">
        <v>276366.44</v>
      </c>
      <c r="Q542" s="141"/>
      <c r="R542" s="141">
        <v>609932.54</v>
      </c>
      <c r="S542" s="141"/>
      <c r="T542" s="141">
        <v>197170.45</v>
      </c>
      <c r="U542" s="141"/>
      <c r="V542" s="141">
        <v>15055.28</v>
      </c>
      <c r="W542" s="141"/>
      <c r="X542" s="141"/>
      <c r="Y542" s="162"/>
      <c r="Z542" s="91">
        <f t="shared" si="79"/>
        <v>7102582.6800000016</v>
      </c>
      <c r="AA542" s="92">
        <v>7102582.6799999997</v>
      </c>
      <c r="AB542" s="92">
        <f t="shared" si="78"/>
        <v>0</v>
      </c>
    </row>
    <row r="543" spans="1:29" x14ac:dyDescent="0.2">
      <c r="A543" s="95">
        <v>39538</v>
      </c>
      <c r="B543" s="141">
        <v>1480214.53</v>
      </c>
      <c r="C543" s="141">
        <v>21704.53</v>
      </c>
      <c r="D543" s="141">
        <v>23378916.800000001</v>
      </c>
      <c r="E543" s="141">
        <f t="shared" si="76"/>
        <v>24837426.800000001</v>
      </c>
      <c r="F543" s="141">
        <v>12772817.789999999</v>
      </c>
      <c r="G543" s="141">
        <f t="shared" si="77"/>
        <v>12064609.010000002</v>
      </c>
      <c r="H543" s="141">
        <v>2628217.5</v>
      </c>
      <c r="I543" s="141"/>
      <c r="J543" s="91">
        <f>K543+M543</f>
        <v>276435.10000000003</v>
      </c>
      <c r="K543" s="164">
        <v>270167.26</v>
      </c>
      <c r="L543" s="165"/>
      <c r="M543" s="165">
        <v>6267.84</v>
      </c>
      <c r="N543" s="146"/>
      <c r="O543" s="146"/>
      <c r="P543" s="141">
        <v>14191.16</v>
      </c>
      <c r="Q543" s="141"/>
      <c r="R543" s="141">
        <v>13593.19</v>
      </c>
      <c r="S543" s="141"/>
      <c r="T543" s="141">
        <v>349927.4</v>
      </c>
      <c r="U543" s="141"/>
      <c r="V543" s="141">
        <v>0</v>
      </c>
      <c r="W543" s="141"/>
      <c r="X543" s="141"/>
      <c r="Y543" s="162"/>
      <c r="Z543" s="91">
        <f t="shared" si="79"/>
        <v>-1823854.35</v>
      </c>
      <c r="AA543" s="92">
        <v>-1823854.35</v>
      </c>
      <c r="AB543" s="92">
        <f t="shared" si="78"/>
        <v>0</v>
      </c>
    </row>
    <row r="544" spans="1:29" x14ac:dyDescent="0.2">
      <c r="A544" s="95">
        <v>39629</v>
      </c>
      <c r="B544" s="141">
        <v>1207049.8899999999</v>
      </c>
      <c r="C544" s="141">
        <v>213044.36</v>
      </c>
      <c r="D544" s="141">
        <v>12772817.789999999</v>
      </c>
      <c r="E544" s="141">
        <f t="shared" si="76"/>
        <v>13766823.319999998</v>
      </c>
      <c r="F544" s="141">
        <v>5368716.7300000004</v>
      </c>
      <c r="G544" s="141">
        <f t="shared" si="77"/>
        <v>8398106.589999998</v>
      </c>
      <c r="H544" s="141">
        <v>3073988.19</v>
      </c>
      <c r="I544" s="141"/>
      <c r="J544" s="91">
        <f>K544+M544</f>
        <v>205200.13000000003</v>
      </c>
      <c r="K544" s="164">
        <f>-55315.99+117319.34+183563.75+28099.62</f>
        <v>273666.72000000003</v>
      </c>
      <c r="L544" s="165"/>
      <c r="M544" s="165">
        <f>-5339+-448+-30291+-32388.59</f>
        <v>-68466.59</v>
      </c>
      <c r="N544" s="146"/>
      <c r="O544" s="146"/>
      <c r="P544" s="141">
        <v>-228539.06</v>
      </c>
      <c r="Q544" s="141"/>
      <c r="R544" s="141">
        <v>9056.2000000000007</v>
      </c>
      <c r="S544" s="141"/>
      <c r="T544" s="141">
        <v>420143.74</v>
      </c>
      <c r="U544" s="141"/>
      <c r="V544" s="141">
        <v>0</v>
      </c>
      <c r="W544" s="141"/>
      <c r="X544" s="141"/>
      <c r="Y544" s="162"/>
      <c r="Z544" s="91">
        <f t="shared" si="79"/>
        <v>-2485843.67</v>
      </c>
      <c r="AA544" s="92">
        <v>-2485843.67</v>
      </c>
      <c r="AB544" s="92">
        <f t="shared" si="78"/>
        <v>0</v>
      </c>
    </row>
    <row r="545" spans="1:28" x14ac:dyDescent="0.2">
      <c r="A545" s="95">
        <v>39721</v>
      </c>
      <c r="B545" s="141">
        <v>255635.37</v>
      </c>
      <c r="C545" s="141">
        <v>331520.84999999998</v>
      </c>
      <c r="D545" s="141">
        <v>5368716.7300000004</v>
      </c>
      <c r="E545" s="141">
        <f t="shared" si="76"/>
        <v>5292831.25</v>
      </c>
      <c r="F545" s="141">
        <v>1253298.2</v>
      </c>
      <c r="G545" s="141">
        <f t="shared" si="77"/>
        <v>4039533.05</v>
      </c>
      <c r="H545" s="141">
        <v>3384040.94</v>
      </c>
      <c r="I545" s="141"/>
      <c r="J545" s="91">
        <v>97524.35</v>
      </c>
      <c r="K545" s="164">
        <v>97038.22</v>
      </c>
      <c r="L545" s="165"/>
      <c r="M545" s="165">
        <v>486.13</v>
      </c>
      <c r="N545" s="146"/>
      <c r="O545" s="146"/>
      <c r="P545" s="141">
        <v>14361.68</v>
      </c>
      <c r="Q545" s="141"/>
      <c r="R545" s="141">
        <v>-16968.12</v>
      </c>
      <c r="S545" s="141"/>
      <c r="T545" s="141">
        <v>471971.78</v>
      </c>
      <c r="U545" s="141"/>
      <c r="V545" s="141">
        <v>0</v>
      </c>
      <c r="W545" s="141"/>
      <c r="X545" s="141"/>
      <c r="Y545" s="162"/>
      <c r="Z545" s="91">
        <f t="shared" si="79"/>
        <v>-4026816.1100000003</v>
      </c>
      <c r="AA545" s="92">
        <v>-4026816.11</v>
      </c>
      <c r="AB545" s="92">
        <f t="shared" si="78"/>
        <v>0</v>
      </c>
    </row>
    <row r="546" spans="1:28" x14ac:dyDescent="0.2">
      <c r="A546" s="95">
        <v>39813</v>
      </c>
      <c r="B546" s="141">
        <v>-281410.2</v>
      </c>
      <c r="C546" s="141">
        <v>535664.31999999995</v>
      </c>
      <c r="D546" s="141">
        <v>1253298.2</v>
      </c>
      <c r="E546" s="141">
        <f t="shared" si="76"/>
        <v>436223.67999999993</v>
      </c>
      <c r="F546" s="141">
        <v>0</v>
      </c>
      <c r="G546" s="141">
        <f t="shared" si="77"/>
        <v>436223.67999999993</v>
      </c>
      <c r="H546" s="141">
        <v>2613407.15</v>
      </c>
      <c r="I546" s="141"/>
      <c r="J546" s="91">
        <v>-64998.98</v>
      </c>
      <c r="K546" s="164">
        <v>-42383.98</v>
      </c>
      <c r="L546" s="165"/>
      <c r="M546" s="165">
        <v>-22615</v>
      </c>
      <c r="N546" s="146"/>
      <c r="O546" s="146"/>
      <c r="P546" s="141">
        <v>12195.53</v>
      </c>
      <c r="Q546" s="141"/>
      <c r="R546" s="141">
        <v>-29151.95</v>
      </c>
      <c r="S546" s="141"/>
      <c r="T546" s="141">
        <v>379078.96</v>
      </c>
      <c r="U546" s="141"/>
      <c r="V546" s="141">
        <v>0</v>
      </c>
      <c r="W546" s="141"/>
      <c r="X546" s="141"/>
      <c r="Y546" s="162"/>
      <c r="Z546" s="91">
        <f t="shared" si="79"/>
        <v>-3727605.2299999995</v>
      </c>
      <c r="AA546" s="92">
        <v>-3727605.23</v>
      </c>
      <c r="AB546" s="92">
        <f t="shared" si="78"/>
        <v>0</v>
      </c>
    </row>
    <row r="547" spans="1:28" x14ac:dyDescent="0.2">
      <c r="A547" s="95">
        <v>39903</v>
      </c>
      <c r="B547" s="141">
        <v>-196527</v>
      </c>
      <c r="C547" s="141">
        <v>582838.94999999995</v>
      </c>
      <c r="D547" s="141">
        <v>0</v>
      </c>
      <c r="E547" s="141">
        <f t="shared" si="76"/>
        <v>-779365.95</v>
      </c>
      <c r="F547" s="141">
        <v>0</v>
      </c>
      <c r="G547" s="141">
        <f t="shared" si="77"/>
        <v>-779365.95</v>
      </c>
      <c r="H547" s="141">
        <v>3224185.57</v>
      </c>
      <c r="I547" s="141"/>
      <c r="J547" s="91">
        <v>-32153.74</v>
      </c>
      <c r="K547" s="164">
        <v>-16346.52</v>
      </c>
      <c r="L547" s="165"/>
      <c r="M547" s="165">
        <v>-16345</v>
      </c>
      <c r="N547" s="146"/>
      <c r="O547" s="165">
        <v>537.78</v>
      </c>
      <c r="P547" s="141">
        <v>2827.01</v>
      </c>
      <c r="Q547" s="141"/>
      <c r="R547" s="141">
        <v>-23983.98</v>
      </c>
      <c r="S547" s="141"/>
      <c r="T547" s="141">
        <v>356266.96</v>
      </c>
      <c r="U547" s="141"/>
      <c r="V547" s="141">
        <v>0</v>
      </c>
      <c r="W547" s="141"/>
      <c r="X547" s="141"/>
      <c r="Y547" s="162"/>
      <c r="Z547" s="91">
        <f t="shared" si="79"/>
        <v>-4306507.7699999996</v>
      </c>
      <c r="AA547" s="92">
        <v>-4306507.7699999996</v>
      </c>
      <c r="AB547" s="92">
        <f t="shared" si="78"/>
        <v>0</v>
      </c>
    </row>
    <row r="548" spans="1:28" x14ac:dyDescent="0.2">
      <c r="A548" s="95">
        <v>39994</v>
      </c>
      <c r="B548" s="141">
        <v>-167846</v>
      </c>
      <c r="C548" s="141">
        <v>319767.2</v>
      </c>
      <c r="D548" s="141">
        <v>0</v>
      </c>
      <c r="E548" s="141">
        <f t="shared" si="76"/>
        <v>-487613.2</v>
      </c>
      <c r="F548" s="141">
        <v>0</v>
      </c>
      <c r="G548" s="141">
        <f t="shared" si="77"/>
        <v>-487613.2</v>
      </c>
      <c r="H548" s="141">
        <v>3004229.4</v>
      </c>
      <c r="I548" s="141"/>
      <c r="J548" s="91">
        <v>-30459.05</v>
      </c>
      <c r="K548" s="164">
        <f>-4560.89+-5401.27+-16790.47+-2365.42</f>
        <v>-29118.050000000003</v>
      </c>
      <c r="L548" s="165"/>
      <c r="M548" s="165">
        <f>-1248+1375+-1769+301</f>
        <v>-1341</v>
      </c>
      <c r="N548" s="146"/>
      <c r="O548" s="165"/>
      <c r="P548" s="141">
        <v>-361437.97</v>
      </c>
      <c r="Q548" s="141"/>
      <c r="R548" s="141">
        <v>-19924.8</v>
      </c>
      <c r="S548" s="141"/>
      <c r="T548" s="141">
        <v>371276.15</v>
      </c>
      <c r="U548" s="141"/>
      <c r="V548" s="141">
        <v>0</v>
      </c>
      <c r="W548" s="141"/>
      <c r="X548" s="141"/>
      <c r="Y548" s="162"/>
      <c r="Z548" s="91">
        <f t="shared" si="79"/>
        <v>-3451296.93</v>
      </c>
      <c r="AA548" s="92">
        <v>-3451296.93</v>
      </c>
      <c r="AB548" s="92">
        <f t="shared" si="78"/>
        <v>0</v>
      </c>
    </row>
    <row r="549" spans="1:28" x14ac:dyDescent="0.2">
      <c r="A549" s="95">
        <v>40086</v>
      </c>
      <c r="B549" s="141">
        <v>-12433</v>
      </c>
      <c r="C549" s="141">
        <v>34579.72</v>
      </c>
      <c r="D549" s="141">
        <v>0</v>
      </c>
      <c r="E549" s="141">
        <f t="shared" si="76"/>
        <v>-47012.72</v>
      </c>
      <c r="F549" s="141">
        <v>0</v>
      </c>
      <c r="G549" s="141">
        <f t="shared" si="77"/>
        <v>-47012.72</v>
      </c>
      <c r="H549" s="141">
        <v>2307421.4900000002</v>
      </c>
      <c r="I549" s="141"/>
      <c r="J549" s="91">
        <v>3519.29</v>
      </c>
      <c r="K549" s="164">
        <f>3560.36+-2844.46+-2725.62+5057.01</f>
        <v>3047.2900000000004</v>
      </c>
      <c r="L549" s="165"/>
      <c r="M549" s="165">
        <f>-90+1521+-800+-159</f>
        <v>472</v>
      </c>
      <c r="N549" s="146"/>
      <c r="O549" s="165"/>
      <c r="P549" s="141">
        <v>604.69000000000005</v>
      </c>
      <c r="Q549" s="141"/>
      <c r="R549" s="141">
        <v>-3649.11</v>
      </c>
      <c r="S549" s="141"/>
      <c r="T549" s="141">
        <v>309689.59000000003</v>
      </c>
      <c r="U549" s="141"/>
      <c r="V549" s="141">
        <v>0</v>
      </c>
      <c r="W549" s="141"/>
      <c r="X549" s="141"/>
      <c r="Y549" s="162"/>
      <c r="Z549" s="91">
        <f t="shared" si="79"/>
        <v>-2664598.6700000004</v>
      </c>
      <c r="AA549" s="92">
        <v>-2664598.67</v>
      </c>
      <c r="AB549" s="92">
        <f t="shared" si="78"/>
        <v>0</v>
      </c>
    </row>
    <row r="550" spans="1:28" x14ac:dyDescent="0.2">
      <c r="A550" s="95">
        <v>40178</v>
      </c>
      <c r="B550" s="141">
        <v>-40697</v>
      </c>
      <c r="C550" s="141">
        <v>126799.86</v>
      </c>
      <c r="D550" s="141">
        <v>0</v>
      </c>
      <c r="E550" s="141">
        <f t="shared" si="76"/>
        <v>-167496.85999999999</v>
      </c>
      <c r="F550" s="141">
        <v>0</v>
      </c>
      <c r="G550" s="141">
        <f t="shared" si="77"/>
        <v>-167496.85999999999</v>
      </c>
      <c r="H550" s="141">
        <v>2228190.11</v>
      </c>
      <c r="I550" s="141"/>
      <c r="J550" s="91">
        <v>-4955.8999999999996</v>
      </c>
      <c r="K550" s="164">
        <v>-4669.8999999999996</v>
      </c>
      <c r="L550" s="165"/>
      <c r="M550" s="165">
        <v>-286</v>
      </c>
      <c r="N550" s="146"/>
      <c r="O550" s="165"/>
      <c r="P550" s="141">
        <v>302.24</v>
      </c>
      <c r="Q550" s="141"/>
      <c r="R550" s="141">
        <v>-1510.95</v>
      </c>
      <c r="S550" s="141"/>
      <c r="T550" s="141">
        <v>243748.06</v>
      </c>
      <c r="U550" s="141"/>
      <c r="V550" s="141">
        <v>0</v>
      </c>
      <c r="W550" s="141"/>
      <c r="X550" s="141"/>
      <c r="Y550" s="162"/>
      <c r="Z550" s="91">
        <f t="shared" si="79"/>
        <v>-2633270.42</v>
      </c>
      <c r="AA550" s="92">
        <v>-2633270.42</v>
      </c>
      <c r="AB550" s="92">
        <f t="shared" si="78"/>
        <v>0</v>
      </c>
    </row>
    <row r="551" spans="1:28" x14ac:dyDescent="0.2">
      <c r="A551" s="140">
        <v>40268</v>
      </c>
      <c r="B551" s="141">
        <v>-36893</v>
      </c>
      <c r="C551" s="141">
        <v>-45591.68</v>
      </c>
      <c r="D551" s="141">
        <v>0</v>
      </c>
      <c r="E551" s="141">
        <f t="shared" si="76"/>
        <v>8698.68</v>
      </c>
      <c r="F551" s="141">
        <v>0</v>
      </c>
      <c r="G551" s="141">
        <f t="shared" si="77"/>
        <v>8698.68</v>
      </c>
      <c r="H551" s="141">
        <v>2001376.67</v>
      </c>
      <c r="I551" s="141"/>
      <c r="J551" s="91">
        <v>-1689.56</v>
      </c>
      <c r="K551" s="164">
        <v>-1689.56</v>
      </c>
      <c r="L551" s="165"/>
      <c r="M551" s="165">
        <v>0</v>
      </c>
      <c r="N551" s="146"/>
      <c r="O551" s="165"/>
      <c r="P551" s="141">
        <v>240.77</v>
      </c>
      <c r="Q551" s="141"/>
      <c r="R551" s="141">
        <v>4142.41</v>
      </c>
      <c r="S551" s="141"/>
      <c r="T551" s="141">
        <v>143036.47</v>
      </c>
      <c r="U551" s="141"/>
      <c r="V551" s="141">
        <v>0</v>
      </c>
      <c r="W551" s="141"/>
      <c r="X551" s="141"/>
      <c r="Y551" s="162"/>
      <c r="Z551" s="91">
        <f t="shared" si="79"/>
        <v>-2138408.08</v>
      </c>
      <c r="AA551" s="92">
        <v>-2138408.08</v>
      </c>
      <c r="AB551" s="92">
        <f t="shared" si="78"/>
        <v>0</v>
      </c>
    </row>
    <row r="552" spans="1:28" x14ac:dyDescent="0.2">
      <c r="A552" s="95">
        <v>40359</v>
      </c>
      <c r="B552" s="141">
        <v>-31116</v>
      </c>
      <c r="C552" s="141">
        <v>651.42999999999995</v>
      </c>
      <c r="D552" s="141">
        <v>0</v>
      </c>
      <c r="E552" s="141">
        <f t="shared" si="76"/>
        <v>-31767.43</v>
      </c>
      <c r="F552" s="141">
        <v>0</v>
      </c>
      <c r="G552" s="141">
        <f t="shared" si="77"/>
        <v>-31767.43</v>
      </c>
      <c r="H552" s="141">
        <v>1579787.97</v>
      </c>
      <c r="I552" s="141"/>
      <c r="J552" s="91">
        <v>-6388.22</v>
      </c>
      <c r="K552" s="164">
        <v>-5576.22</v>
      </c>
      <c r="L552" s="165"/>
      <c r="M552" s="165">
        <v>-812</v>
      </c>
      <c r="N552" s="146"/>
      <c r="O552" s="165"/>
      <c r="P552" s="141">
        <v>-8.84</v>
      </c>
      <c r="Q552" s="141"/>
      <c r="R552" s="141">
        <v>-978</v>
      </c>
      <c r="S552" s="141"/>
      <c r="T552" s="141">
        <v>180860.84</v>
      </c>
      <c r="U552" s="141"/>
      <c r="V552" s="141">
        <v>0</v>
      </c>
      <c r="W552" s="141"/>
      <c r="X552" s="141"/>
      <c r="Y552" s="162"/>
      <c r="Z552" s="91">
        <f t="shared" si="79"/>
        <v>-1785041.18</v>
      </c>
      <c r="AA552" s="92">
        <v>-1785041.18</v>
      </c>
      <c r="AB552" s="92">
        <f t="shared" si="78"/>
        <v>0</v>
      </c>
    </row>
    <row r="553" spans="1:28" x14ac:dyDescent="0.2">
      <c r="A553" s="140">
        <v>40451</v>
      </c>
      <c r="B553" s="141">
        <v>252617</v>
      </c>
      <c r="C553" s="141">
        <v>76434.44</v>
      </c>
      <c r="D553" s="141">
        <v>0</v>
      </c>
      <c r="E553" s="141">
        <f t="shared" si="76"/>
        <v>176182.56</v>
      </c>
      <c r="F553" s="141">
        <v>0</v>
      </c>
      <c r="G553" s="141">
        <f t="shared" si="77"/>
        <v>176182.56</v>
      </c>
      <c r="H553" s="141">
        <v>1065223.96</v>
      </c>
      <c r="I553" s="141"/>
      <c r="J553" s="91">
        <v>48445.55</v>
      </c>
      <c r="K553" s="164">
        <v>48971.55</v>
      </c>
      <c r="L553" s="165"/>
      <c r="M553" s="165">
        <v>-526</v>
      </c>
      <c r="N553" s="146"/>
      <c r="O553" s="165">
        <v>0</v>
      </c>
      <c r="P553" s="141">
        <v>-19.28</v>
      </c>
      <c r="Q553" s="141"/>
      <c r="R553" s="141">
        <v>7366.32</v>
      </c>
      <c r="S553" s="141"/>
      <c r="T553" s="141">
        <v>125866.77</v>
      </c>
      <c r="U553" s="141"/>
      <c r="V553" s="141">
        <v>0</v>
      </c>
      <c r="W553" s="141"/>
      <c r="X553" s="141"/>
      <c r="Y553" s="162"/>
      <c r="Z553" s="91">
        <f t="shared" si="79"/>
        <v>-1070700.7599999998</v>
      </c>
      <c r="AA553" s="92">
        <v>-1070700.76</v>
      </c>
      <c r="AB553" s="92">
        <f t="shared" si="78"/>
        <v>0</v>
      </c>
    </row>
    <row r="554" spans="1:28" x14ac:dyDescent="0.2">
      <c r="A554" s="140">
        <v>40543</v>
      </c>
      <c r="B554" s="141">
        <v>-148162</v>
      </c>
      <c r="C554" s="141">
        <v>-27821.62</v>
      </c>
      <c r="D554" s="141">
        <v>0</v>
      </c>
      <c r="E554" s="141">
        <f t="shared" si="76"/>
        <v>-120340.38</v>
      </c>
      <c r="F554" s="141">
        <v>0</v>
      </c>
      <c r="G554" s="141">
        <f t="shared" si="77"/>
        <v>-120340.38</v>
      </c>
      <c r="H554" s="141">
        <v>721712.11</v>
      </c>
      <c r="I554" s="141"/>
      <c r="J554" s="91">
        <v>-29617.91</v>
      </c>
      <c r="K554" s="164">
        <v>-29911.91</v>
      </c>
      <c r="L554" s="165"/>
      <c r="M554" s="165">
        <v>294</v>
      </c>
      <c r="N554" s="146"/>
      <c r="O554" s="165">
        <v>0</v>
      </c>
      <c r="P554" s="141">
        <v>86</v>
      </c>
      <c r="Q554" s="141"/>
      <c r="R554" s="141">
        <v>-3355.12</v>
      </c>
      <c r="S554" s="141"/>
      <c r="T554" s="141">
        <v>88189.22</v>
      </c>
      <c r="U554" s="141"/>
      <c r="V554" s="141">
        <v>0</v>
      </c>
      <c r="W554" s="141"/>
      <c r="X554" s="141"/>
      <c r="Y554" s="162"/>
      <c r="Z554" s="91">
        <f t="shared" si="79"/>
        <v>-897354.67999999993</v>
      </c>
      <c r="AA554" s="92">
        <v>-897354.68</v>
      </c>
      <c r="AB554" s="92">
        <f t="shared" si="78"/>
        <v>0</v>
      </c>
    </row>
    <row r="555" spans="1:28" x14ac:dyDescent="0.2">
      <c r="A555" s="288">
        <v>40633</v>
      </c>
      <c r="B555" s="141">
        <v>-16547</v>
      </c>
      <c r="C555" s="141">
        <v>-46879.88</v>
      </c>
      <c r="D555" s="141">
        <v>0</v>
      </c>
      <c r="E555" s="141">
        <f t="shared" si="76"/>
        <v>30332.879999999997</v>
      </c>
      <c r="F555" s="141">
        <v>0</v>
      </c>
      <c r="G555" s="141">
        <f t="shared" si="77"/>
        <v>30332.879999999997</v>
      </c>
      <c r="H555" s="141">
        <v>555933.94999999995</v>
      </c>
      <c r="I555" s="141"/>
      <c r="J555" s="91">
        <v>-2085.0100000000002</v>
      </c>
      <c r="K555" s="164">
        <v>-1733.01</v>
      </c>
      <c r="L555" s="165"/>
      <c r="M555" s="165">
        <v>-352</v>
      </c>
      <c r="N555" s="146"/>
      <c r="O555" s="165"/>
      <c r="P555" s="141">
        <v>14.63</v>
      </c>
      <c r="Q555" s="141"/>
      <c r="R555" s="141">
        <v>1476.73</v>
      </c>
      <c r="S555" s="141"/>
      <c r="T555" s="141">
        <v>86627.41</v>
      </c>
      <c r="U555" s="141"/>
      <c r="V555" s="141">
        <v>0</v>
      </c>
      <c r="W555" s="141"/>
      <c r="X555" s="141"/>
      <c r="Y555" s="162"/>
      <c r="Z555" s="91">
        <f t="shared" si="79"/>
        <v>-611634.82999999996</v>
      </c>
      <c r="AA555" s="92">
        <v>-611634.82999999996</v>
      </c>
      <c r="AB555" s="92">
        <f t="shared" si="78"/>
        <v>0</v>
      </c>
    </row>
    <row r="556" spans="1:28" x14ac:dyDescent="0.2">
      <c r="A556" s="288">
        <v>40724</v>
      </c>
      <c r="B556" s="141">
        <v>-274</v>
      </c>
      <c r="C556" s="141">
        <v>-45007.86</v>
      </c>
      <c r="D556" s="141">
        <v>0</v>
      </c>
      <c r="E556" s="141">
        <f t="shared" si="76"/>
        <v>44733.86</v>
      </c>
      <c r="F556" s="141">
        <v>0</v>
      </c>
      <c r="G556" s="141">
        <f t="shared" si="77"/>
        <v>44733.86</v>
      </c>
      <c r="H556" s="141">
        <v>378295.92</v>
      </c>
      <c r="I556" s="141"/>
      <c r="J556" s="91">
        <v>-208.84</v>
      </c>
      <c r="K556" s="164">
        <v>-99.84</v>
      </c>
      <c r="L556" s="165"/>
      <c r="M556" s="165">
        <v>-109</v>
      </c>
      <c r="N556" s="146"/>
      <c r="O556" s="165"/>
      <c r="P556" s="141">
        <v>8.07</v>
      </c>
      <c r="Q556" s="141"/>
      <c r="R556" s="141">
        <v>1590.05</v>
      </c>
      <c r="S556" s="141"/>
      <c r="T556" s="141">
        <v>91577.82</v>
      </c>
      <c r="U556" s="141"/>
      <c r="V556" s="141">
        <v>0</v>
      </c>
      <c r="W556" s="141"/>
      <c r="X556" s="141"/>
      <c r="Y556" s="162"/>
      <c r="Z556" s="91">
        <f t="shared" si="79"/>
        <v>-426529.16</v>
      </c>
      <c r="AA556" s="92">
        <v>-426529.16</v>
      </c>
      <c r="AB556" s="92">
        <f t="shared" si="78"/>
        <v>0</v>
      </c>
    </row>
    <row r="557" spans="1:28" x14ac:dyDescent="0.2">
      <c r="A557" s="288">
        <v>40816</v>
      </c>
      <c r="B557" s="141">
        <v>-2909</v>
      </c>
      <c r="C557" s="141">
        <v>-29614.35</v>
      </c>
      <c r="D557" s="141">
        <v>0</v>
      </c>
      <c r="E557" s="141">
        <f t="shared" si="76"/>
        <v>26705.35</v>
      </c>
      <c r="F557" s="141">
        <v>0</v>
      </c>
      <c r="G557" s="141">
        <f t="shared" si="77"/>
        <v>26705.35</v>
      </c>
      <c r="H557" s="141">
        <v>-121156.22</v>
      </c>
      <c r="I557" s="141"/>
      <c r="J557" s="91">
        <v>-445.53</v>
      </c>
      <c r="K557" s="164">
        <v>-574.53</v>
      </c>
      <c r="L557" s="165"/>
      <c r="M557" s="165">
        <v>129</v>
      </c>
      <c r="N557" s="146"/>
      <c r="O557" s="165"/>
      <c r="P557" s="141">
        <v>16.600000000000001</v>
      </c>
      <c r="Q557" s="141"/>
      <c r="R557" s="141">
        <v>1071.8</v>
      </c>
      <c r="S557" s="141"/>
      <c r="T557" s="141">
        <v>61893.48</v>
      </c>
      <c r="U557" s="141"/>
      <c r="V557" s="141">
        <v>0</v>
      </c>
      <c r="W557" s="141"/>
      <c r="X557" s="141"/>
      <c r="Y557" s="162"/>
      <c r="Z557" s="91">
        <f t="shared" si="79"/>
        <v>85325.22</v>
      </c>
      <c r="AA557" s="92">
        <v>85325.22</v>
      </c>
      <c r="AB557" s="92">
        <f t="shared" si="78"/>
        <v>0</v>
      </c>
    </row>
    <row r="558" spans="1:28" x14ac:dyDescent="0.2">
      <c r="A558" s="288">
        <v>40908</v>
      </c>
      <c r="B558" s="141">
        <v>-5277</v>
      </c>
      <c r="C558" s="141">
        <v>-5077.05</v>
      </c>
      <c r="D558" s="141">
        <v>0</v>
      </c>
      <c r="E558" s="141">
        <f t="shared" si="76"/>
        <v>-199.94999999999982</v>
      </c>
      <c r="F558" s="141">
        <v>0</v>
      </c>
      <c r="G558" s="141">
        <f t="shared" si="77"/>
        <v>-199.94999999999982</v>
      </c>
      <c r="H558" s="141">
        <v>404112.07</v>
      </c>
      <c r="I558" s="141"/>
      <c r="J558" s="91">
        <v>-1097.0999999999999</v>
      </c>
      <c r="K558" s="164">
        <f>-906.35+-22.75</f>
        <v>-929.1</v>
      </c>
      <c r="L558" s="165"/>
      <c r="M558" s="165">
        <f>-185+17</f>
        <v>-168</v>
      </c>
      <c r="N558" s="146"/>
      <c r="O558" s="165">
        <v>0</v>
      </c>
      <c r="P558" s="141">
        <v>16.11</v>
      </c>
      <c r="Q558" s="141"/>
      <c r="R558" s="141">
        <v>-1283.5999999999999</v>
      </c>
      <c r="S558" s="141"/>
      <c r="T558" s="141">
        <v>60549.01</v>
      </c>
      <c r="U558" s="141"/>
      <c r="V558" s="141">
        <v>0</v>
      </c>
      <c r="W558" s="141"/>
      <c r="X558" s="141"/>
      <c r="Y558" s="162"/>
      <c r="Z558" s="91">
        <f t="shared" si="79"/>
        <v>-462496.44000000006</v>
      </c>
      <c r="AA558" s="92">
        <v>-462496.44</v>
      </c>
      <c r="AB558" s="92">
        <f t="shared" si="78"/>
        <v>0</v>
      </c>
    </row>
    <row r="559" spans="1:28" x14ac:dyDescent="0.2">
      <c r="A559" s="288">
        <v>40999</v>
      </c>
      <c r="B559" s="141">
        <v>2149</v>
      </c>
      <c r="C559" s="141">
        <v>-14634.18</v>
      </c>
      <c r="D559" s="141">
        <v>0</v>
      </c>
      <c r="E559" s="141">
        <f t="shared" si="76"/>
        <v>16783.18</v>
      </c>
      <c r="F559" s="141">
        <v>0</v>
      </c>
      <c r="G559" s="141">
        <f t="shared" si="77"/>
        <v>16783.18</v>
      </c>
      <c r="H559" s="141">
        <v>995802.35</v>
      </c>
      <c r="I559" s="141"/>
      <c r="J559" s="91">
        <v>288.5</v>
      </c>
      <c r="K559" s="164">
        <f>1125.16+-694.66</f>
        <v>430.50000000000011</v>
      </c>
      <c r="L559" s="165"/>
      <c r="M559" s="165">
        <v>-142</v>
      </c>
      <c r="N559" s="146"/>
      <c r="O559" s="165">
        <v>0</v>
      </c>
      <c r="P559" s="141">
        <v>0</v>
      </c>
      <c r="Q559" s="141"/>
      <c r="R559" s="141">
        <v>531.61</v>
      </c>
      <c r="S559" s="141"/>
      <c r="T559" s="141">
        <v>36763.919999999998</v>
      </c>
      <c r="U559" s="141"/>
      <c r="V559" s="141">
        <v>0</v>
      </c>
      <c r="W559" s="141"/>
      <c r="X559" s="141"/>
      <c r="Y559" s="162"/>
      <c r="Z559" s="91">
        <f t="shared" si="79"/>
        <v>-1016603.2</v>
      </c>
      <c r="AA559" s="92">
        <v>-1016603.2</v>
      </c>
      <c r="AB559" s="92">
        <f t="shared" si="78"/>
        <v>0</v>
      </c>
    </row>
    <row r="560" spans="1:28" x14ac:dyDescent="0.2">
      <c r="A560" s="288">
        <v>41090</v>
      </c>
      <c r="B560" s="141">
        <v>-515</v>
      </c>
      <c r="C560" s="141">
        <v>-22639.09</v>
      </c>
      <c r="D560" s="141">
        <v>0</v>
      </c>
      <c r="E560" s="141">
        <f t="shared" si="76"/>
        <v>22124.09</v>
      </c>
      <c r="F560" s="141">
        <v>0</v>
      </c>
      <c r="G560" s="141">
        <f t="shared" si="77"/>
        <v>22124.09</v>
      </c>
      <c r="H560" s="141">
        <v>699682.43</v>
      </c>
      <c r="I560" s="141"/>
      <c r="J560" s="91">
        <v>-165.13</v>
      </c>
      <c r="K560" s="164">
        <v>-70.13</v>
      </c>
      <c r="L560" s="165"/>
      <c r="M560" s="165">
        <v>-95</v>
      </c>
      <c r="N560" s="146"/>
      <c r="O560" s="165">
        <v>0</v>
      </c>
      <c r="P560" s="141">
        <v>0</v>
      </c>
      <c r="Q560" s="141"/>
      <c r="R560" s="141">
        <v>1094.68</v>
      </c>
      <c r="S560" s="141"/>
      <c r="T560" s="141">
        <v>31214.6</v>
      </c>
      <c r="U560" s="141"/>
      <c r="V560" s="141">
        <v>0</v>
      </c>
      <c r="W560" s="141"/>
      <c r="X560" s="141"/>
      <c r="Y560" s="162"/>
      <c r="Z560" s="91">
        <f t="shared" si="79"/>
        <v>-709702.49000000011</v>
      </c>
      <c r="AA560" s="92">
        <v>-709702.49</v>
      </c>
      <c r="AB560" s="92">
        <f t="shared" si="78"/>
        <v>0</v>
      </c>
    </row>
    <row r="561" spans="1:28" x14ac:dyDescent="0.2">
      <c r="A561" s="288">
        <v>41182</v>
      </c>
      <c r="B561" s="141">
        <v>-254</v>
      </c>
      <c r="C561" s="141">
        <v>-22723.279999999999</v>
      </c>
      <c r="D561" s="141">
        <v>0</v>
      </c>
      <c r="E561" s="141">
        <f t="shared" si="76"/>
        <v>22469.279999999999</v>
      </c>
      <c r="F561" s="141">
        <v>0</v>
      </c>
      <c r="G561" s="141">
        <f t="shared" si="77"/>
        <v>22469.279999999999</v>
      </c>
      <c r="H561" s="141">
        <v>-31781.56</v>
      </c>
      <c r="I561" s="141"/>
      <c r="J561" s="91">
        <v>-29.76</v>
      </c>
      <c r="K561" s="164">
        <f>-164.69+116.93</f>
        <v>-47.759999999999991</v>
      </c>
      <c r="L561" s="165"/>
      <c r="M561" s="165">
        <f>-142+160</f>
        <v>18</v>
      </c>
      <c r="N561" s="146"/>
      <c r="O561" s="165">
        <v>0</v>
      </c>
      <c r="P561" s="141">
        <v>0</v>
      </c>
      <c r="Q561" s="141"/>
      <c r="R561" s="141">
        <v>1428.44</v>
      </c>
      <c r="S561" s="141"/>
      <c r="T561" s="141">
        <v>23202</v>
      </c>
      <c r="U561" s="141"/>
      <c r="V561" s="141">
        <v>0</v>
      </c>
      <c r="W561" s="141"/>
      <c r="X561" s="141"/>
      <c r="Y561" s="162"/>
      <c r="Z561" s="91">
        <f t="shared" si="79"/>
        <v>29650.159999999996</v>
      </c>
      <c r="AA561" s="92">
        <v>29650.16</v>
      </c>
      <c r="AB561" s="92">
        <f>Z561-AA561</f>
        <v>0</v>
      </c>
    </row>
    <row r="562" spans="1:28" x14ac:dyDescent="0.2">
      <c r="A562" s="288">
        <v>41274</v>
      </c>
      <c r="B562" s="141">
        <v>15195</v>
      </c>
      <c r="C562" s="141">
        <v>-8063.67</v>
      </c>
      <c r="D562" s="141">
        <v>0</v>
      </c>
      <c r="E562" s="141">
        <f t="shared" si="76"/>
        <v>23258.67</v>
      </c>
      <c r="F562" s="141">
        <v>0</v>
      </c>
      <c r="G562" s="141">
        <f t="shared" si="77"/>
        <v>23258.67</v>
      </c>
      <c r="H562" s="141">
        <v>-42810.5</v>
      </c>
      <c r="I562" s="141"/>
      <c r="J562" s="91">
        <v>2855.9</v>
      </c>
      <c r="K562" s="164">
        <v>2855.9</v>
      </c>
      <c r="L562" s="165"/>
      <c r="M562" s="165">
        <v>0</v>
      </c>
      <c r="N562" s="146"/>
      <c r="O562" s="165">
        <v>0</v>
      </c>
      <c r="P562" s="141">
        <v>0</v>
      </c>
      <c r="Q562" s="141"/>
      <c r="R562" s="141">
        <v>26.75</v>
      </c>
      <c r="S562" s="141"/>
      <c r="T562" s="141">
        <v>23111.33</v>
      </c>
      <c r="U562" s="141"/>
      <c r="V562" s="141">
        <v>0</v>
      </c>
      <c r="W562" s="141"/>
      <c r="X562" s="141"/>
      <c r="Y562" s="162"/>
      <c r="Z562" s="91">
        <f t="shared" si="79"/>
        <v>40075.189999999995</v>
      </c>
      <c r="AA562" s="92">
        <v>40075.19</v>
      </c>
      <c r="AB562" s="92">
        <f>Z562-AA562</f>
        <v>0</v>
      </c>
    </row>
    <row r="563" spans="1:28" x14ac:dyDescent="0.2">
      <c r="A563" s="288">
        <v>41364</v>
      </c>
      <c r="B563" s="141">
        <v>-878</v>
      </c>
      <c r="C563" s="141">
        <v>-7160.53</v>
      </c>
      <c r="D563" s="141">
        <v>0</v>
      </c>
      <c r="E563" s="141">
        <f t="shared" si="76"/>
        <v>6282.53</v>
      </c>
      <c r="F563" s="141">
        <v>0</v>
      </c>
      <c r="G563" s="141">
        <f t="shared" si="77"/>
        <v>6282.53</v>
      </c>
      <c r="H563" s="141">
        <v>263085.53999999998</v>
      </c>
      <c r="I563" s="141"/>
      <c r="J563" s="91">
        <v>-285.88</v>
      </c>
      <c r="K563" s="164">
        <v>-139.88</v>
      </c>
      <c r="L563" s="165"/>
      <c r="M563" s="165">
        <v>-146</v>
      </c>
      <c r="N563" s="146"/>
      <c r="O563" s="165">
        <v>0</v>
      </c>
      <c r="P563" s="141">
        <v>0</v>
      </c>
      <c r="Q563" s="141"/>
      <c r="R563" s="141">
        <v>432.74</v>
      </c>
      <c r="S563" s="141"/>
      <c r="T563" s="141">
        <v>17383.560000000001</v>
      </c>
      <c r="U563" s="141"/>
      <c r="V563" s="141">
        <v>0</v>
      </c>
      <c r="W563" s="141"/>
      <c r="X563" s="141"/>
      <c r="Y563" s="162"/>
      <c r="Z563" s="91">
        <f t="shared" si="79"/>
        <v>-274333.43</v>
      </c>
      <c r="AA563" s="92">
        <v>-274333.43</v>
      </c>
      <c r="AB563" s="92">
        <f>Z563-AA563</f>
        <v>0</v>
      </c>
    </row>
    <row r="564" spans="1:28" x14ac:dyDescent="0.2">
      <c r="A564" s="288">
        <v>41455</v>
      </c>
      <c r="B564" s="141">
        <v>-337</v>
      </c>
      <c r="C564" s="141">
        <v>-4127.12</v>
      </c>
      <c r="D564" s="141">
        <v>0</v>
      </c>
      <c r="E564" s="141">
        <f t="shared" si="76"/>
        <v>3790.12</v>
      </c>
      <c r="F564" s="141">
        <v>0</v>
      </c>
      <c r="G564" s="141">
        <f t="shared" si="77"/>
        <v>3790.12</v>
      </c>
      <c r="H564" s="141">
        <v>-176615.34</v>
      </c>
      <c r="I564" s="141"/>
      <c r="J564" s="91">
        <v>-63.36</v>
      </c>
      <c r="K564" s="164">
        <v>-63.36</v>
      </c>
      <c r="L564" s="165"/>
      <c r="M564" s="165">
        <v>0</v>
      </c>
      <c r="N564" s="146"/>
      <c r="O564" s="165">
        <v>0</v>
      </c>
      <c r="P564" s="141">
        <v>0</v>
      </c>
      <c r="Q564" s="141"/>
      <c r="R564" s="141">
        <v>165.31</v>
      </c>
      <c r="S564" s="141"/>
      <c r="T564" s="141">
        <v>23636.26</v>
      </c>
      <c r="U564" s="141"/>
      <c r="V564" s="141">
        <v>0</v>
      </c>
      <c r="W564" s="141"/>
      <c r="X564" s="141"/>
      <c r="Y564" s="162"/>
      <c r="Z564" s="91">
        <f t="shared" si="79"/>
        <v>156667.24999999997</v>
      </c>
      <c r="AA564" s="92">
        <v>156667.25</v>
      </c>
      <c r="AB564" s="92">
        <f>Z564-AA564</f>
        <v>0</v>
      </c>
    </row>
    <row r="565" spans="1:28" x14ac:dyDescent="0.2">
      <c r="A565" s="288">
        <v>41547</v>
      </c>
      <c r="B565" s="141">
        <v>7590</v>
      </c>
      <c r="C565" s="141">
        <v>-15013.04</v>
      </c>
      <c r="D565" s="141">
        <v>0</v>
      </c>
      <c r="E565" s="141">
        <f t="shared" si="76"/>
        <v>22603.040000000001</v>
      </c>
      <c r="F565" s="141">
        <v>0</v>
      </c>
      <c r="G565" s="141">
        <f t="shared" si="77"/>
        <v>22603.040000000001</v>
      </c>
      <c r="H565" s="141">
        <v>251252.27</v>
      </c>
      <c r="I565" s="141"/>
      <c r="J565" s="91">
        <v>1433.43</v>
      </c>
      <c r="K565" s="164">
        <v>1425.43</v>
      </c>
      <c r="L565" s="165"/>
      <c r="M565" s="165">
        <v>8</v>
      </c>
      <c r="N565" s="146"/>
      <c r="O565" s="165"/>
      <c r="P565" s="141">
        <v>0</v>
      </c>
      <c r="Q565" s="141"/>
      <c r="R565" s="141">
        <v>75.13</v>
      </c>
      <c r="S565" s="141"/>
      <c r="T565" s="141">
        <v>27884.05</v>
      </c>
      <c r="U565" s="141"/>
      <c r="V565" s="141">
        <v>0</v>
      </c>
      <c r="W565" s="141"/>
      <c r="X565" s="141"/>
      <c r="Y565" s="162"/>
      <c r="Z565" s="91">
        <f t="shared" si="79"/>
        <v>-258041.83999999997</v>
      </c>
      <c r="AA565" s="92">
        <v>-258041.84</v>
      </c>
      <c r="AB565" s="92">
        <f>Z565-AA565</f>
        <v>0</v>
      </c>
    </row>
    <row r="566" spans="1:28" x14ac:dyDescent="0.2">
      <c r="A566" s="135"/>
      <c r="B566" s="163">
        <f>SUM(B539:B565)</f>
        <v>64619033</v>
      </c>
      <c r="C566" s="163">
        <f>SUM(C539:C565)</f>
        <v>1967255.3999999994</v>
      </c>
      <c r="D566" s="163">
        <f>D562</f>
        <v>0</v>
      </c>
      <c r="E566" s="163">
        <f>SUM(E539:E565)</f>
        <v>164268651.01000002</v>
      </c>
      <c r="F566" s="163">
        <f>F562</f>
        <v>0</v>
      </c>
      <c r="G566" s="163">
        <f>SUM(G539:G565)</f>
        <v>62651777.599999994</v>
      </c>
      <c r="H566" s="163">
        <f>SUM(H539:H565)</f>
        <v>34326953.579999998</v>
      </c>
      <c r="I566" s="163"/>
      <c r="J566" s="163">
        <f>SUM(J539:J565)</f>
        <v>16170073.909999996</v>
      </c>
      <c r="K566" s="163">
        <f>SUM(K539:K560)</f>
        <v>10483818.169999998</v>
      </c>
      <c r="L566" s="137">
        <f>K566/G566</f>
        <v>0.16733472810514477</v>
      </c>
      <c r="M566" s="163">
        <f>SUM(M539:M560)</f>
        <v>5285627</v>
      </c>
      <c r="N566" s="129">
        <f>M566/G566</f>
        <v>8.4365156145226439E-2</v>
      </c>
      <c r="O566" s="163">
        <f>SUM(O539:O552)</f>
        <v>396718.41000000003</v>
      </c>
      <c r="P566" s="163">
        <f>SUM(P539:P565)</f>
        <v>687561.73</v>
      </c>
      <c r="Q566" s="129">
        <f>P566/G566</f>
        <v>1.0974337143149153E-2</v>
      </c>
      <c r="R566" s="163">
        <f>SUM(R539:R565)</f>
        <v>2969483.3299999996</v>
      </c>
      <c r="S566" s="97">
        <f>R566/G566</f>
        <v>4.7396633323936205E-2</v>
      </c>
      <c r="T566" s="163">
        <f>SUM(T539:T565)</f>
        <v>4321362.4999999991</v>
      </c>
      <c r="U566" s="129">
        <f>T566/G566</f>
        <v>6.8974299940693137E-2</v>
      </c>
      <c r="V566" s="163">
        <f>SUM(V539:V565)</f>
        <v>121909.01</v>
      </c>
      <c r="W566" s="97">
        <f>V566/G566</f>
        <v>1.9458188525523976E-3</v>
      </c>
      <c r="X566" s="163">
        <f>SUM(X539:X554)</f>
        <v>0</v>
      </c>
      <c r="Y566" s="163">
        <f>SUM(Y539:Y554)</f>
        <v>0</v>
      </c>
      <c r="Z566" s="163">
        <f>SUM(Z539:Z565)</f>
        <v>4298251.5600000024</v>
      </c>
    </row>
    <row r="567" spans="1:28" x14ac:dyDescent="0.2">
      <c r="Z567" s="153">
        <f>ROUND(B566-C566-H566-J566-P566-R566-T566+V566,2)</f>
        <v>4298251.5599999996</v>
      </c>
    </row>
    <row r="568" spans="1:28" x14ac:dyDescent="0.2">
      <c r="A568" s="154" t="s">
        <v>208</v>
      </c>
      <c r="Z568" s="156" t="str">
        <f>IF(Z567=Z566,"Check","NO")</f>
        <v>Check</v>
      </c>
    </row>
    <row r="569" spans="1:28" ht="38.25" x14ac:dyDescent="0.2">
      <c r="A569" s="86" t="s">
        <v>143</v>
      </c>
      <c r="B569" s="87" t="s">
        <v>144</v>
      </c>
      <c r="C569" s="87" t="s">
        <v>145</v>
      </c>
      <c r="D569" s="87" t="s">
        <v>170</v>
      </c>
      <c r="E569" s="87" t="s">
        <v>171</v>
      </c>
      <c r="F569" s="87" t="s">
        <v>172</v>
      </c>
      <c r="G569" s="87" t="s">
        <v>146</v>
      </c>
      <c r="H569" s="87" t="s">
        <v>147</v>
      </c>
      <c r="I569" s="87" t="s">
        <v>148</v>
      </c>
      <c r="J569" s="87" t="s">
        <v>169</v>
      </c>
      <c r="K569" s="87" t="s">
        <v>136</v>
      </c>
      <c r="L569" s="87" t="s">
        <v>149</v>
      </c>
      <c r="M569" s="87" t="s">
        <v>163</v>
      </c>
      <c r="N569" s="87" t="s">
        <v>164</v>
      </c>
      <c r="O569" s="87" t="s">
        <v>207</v>
      </c>
      <c r="P569" s="87" t="s">
        <v>150</v>
      </c>
      <c r="Q569" s="87" t="s">
        <v>151</v>
      </c>
      <c r="R569" s="87" t="s">
        <v>152</v>
      </c>
      <c r="S569" s="87" t="s">
        <v>153</v>
      </c>
      <c r="T569" s="87" t="s">
        <v>154</v>
      </c>
      <c r="U569" s="87" t="s">
        <v>155</v>
      </c>
      <c r="V569" s="87" t="s">
        <v>156</v>
      </c>
      <c r="W569" s="87" t="s">
        <v>157</v>
      </c>
      <c r="X569" s="87" t="s">
        <v>165</v>
      </c>
      <c r="Y569" s="87" t="s">
        <v>166</v>
      </c>
      <c r="Z569" s="87" t="s">
        <v>158</v>
      </c>
      <c r="AA569" s="87" t="s">
        <v>173</v>
      </c>
      <c r="AB569" s="87" t="s">
        <v>175</v>
      </c>
    </row>
    <row r="570" spans="1:28" x14ac:dyDescent="0.2">
      <c r="A570" s="140">
        <v>39538</v>
      </c>
      <c r="B570" s="141">
        <v>9313949.0899999999</v>
      </c>
      <c r="C570" s="141">
        <v>0</v>
      </c>
      <c r="D570" s="141">
        <v>0</v>
      </c>
      <c r="E570" s="141">
        <f t="shared" ref="E570:E592" si="80">B570-C570+D570</f>
        <v>9313949.0899999999</v>
      </c>
      <c r="F570" s="141">
        <v>7451307.5300000003</v>
      </c>
      <c r="G570" s="141">
        <f t="shared" ref="G570:G592" si="81">E570-F570</f>
        <v>1862641.5599999996</v>
      </c>
      <c r="H570" s="141">
        <v>53329.53</v>
      </c>
      <c r="I570" s="141"/>
      <c r="J570" s="91">
        <v>2709534.36</v>
      </c>
      <c r="K570" s="141">
        <v>1444869.57</v>
      </c>
      <c r="L570" s="146"/>
      <c r="M570" s="146">
        <v>1152255.51</v>
      </c>
      <c r="N570" s="146"/>
      <c r="O570" s="146">
        <v>112409.28</v>
      </c>
      <c r="P570" s="141">
        <v>237418.07</v>
      </c>
      <c r="Q570" s="141"/>
      <c r="R570" s="141">
        <v>511474.76</v>
      </c>
      <c r="S570" s="141"/>
      <c r="T570" s="141">
        <v>7400</v>
      </c>
      <c r="U570" s="141"/>
      <c r="V570" s="141">
        <v>7398.42</v>
      </c>
      <c r="W570" s="141"/>
      <c r="X570" s="141"/>
      <c r="Y570" s="162"/>
      <c r="Z570" s="91">
        <f t="shared" ref="Z570:Z592" si="82">B570-C570-H570-J570-P570-R570-T570+V570</f>
        <v>5802190.790000001</v>
      </c>
      <c r="AA570" s="92">
        <v>5802190.79</v>
      </c>
      <c r="AB570" s="92">
        <f t="shared" ref="AB570:AB587" si="83">Z570-AA570</f>
        <v>0</v>
      </c>
    </row>
    <row r="571" spans="1:28" x14ac:dyDescent="0.2">
      <c r="A571" s="140">
        <v>39629</v>
      </c>
      <c r="B571" s="141">
        <v>9474326.4700000007</v>
      </c>
      <c r="C571" s="141">
        <v>0</v>
      </c>
      <c r="D571" s="141">
        <v>7451307.5300000003</v>
      </c>
      <c r="E571" s="141">
        <f t="shared" si="80"/>
        <v>16925634</v>
      </c>
      <c r="F571" s="141">
        <v>12394131.210000001</v>
      </c>
      <c r="G571" s="141">
        <f t="shared" si="81"/>
        <v>4531502.7899999991</v>
      </c>
      <c r="H571" s="141">
        <v>228902.24</v>
      </c>
      <c r="I571" s="141"/>
      <c r="J571" s="91">
        <v>2651332.06</v>
      </c>
      <c r="K571" s="141">
        <f>30749.01+480361.23+533610.05+473440.71</f>
        <v>1518161</v>
      </c>
      <c r="L571" s="146"/>
      <c r="M571" s="146">
        <f>353870.26+345825+330636+31926</f>
        <v>1062257.26</v>
      </c>
      <c r="N571" s="146"/>
      <c r="O571" s="146">
        <v>70913.8</v>
      </c>
      <c r="P571" s="141">
        <v>227051.75</v>
      </c>
      <c r="Q571" s="141"/>
      <c r="R571" s="141">
        <v>479876.49</v>
      </c>
      <c r="S571" s="141"/>
      <c r="T571" s="141">
        <v>31292.65</v>
      </c>
      <c r="U571" s="141"/>
      <c r="V571" s="141">
        <v>6479.34</v>
      </c>
      <c r="W571" s="141"/>
      <c r="X571" s="141"/>
      <c r="Y571" s="162"/>
      <c r="Z571" s="91">
        <f t="shared" si="82"/>
        <v>5862350.6199999992</v>
      </c>
      <c r="AA571" s="92">
        <v>5862350.6200000001</v>
      </c>
      <c r="AB571" s="92">
        <f t="shared" si="83"/>
        <v>0</v>
      </c>
    </row>
    <row r="572" spans="1:28" x14ac:dyDescent="0.2">
      <c r="A572" s="140">
        <v>39721</v>
      </c>
      <c r="B572" s="141">
        <v>10046858.59</v>
      </c>
      <c r="C572" s="141">
        <v>975.62</v>
      </c>
      <c r="D572" s="141">
        <v>12394131.210000001</v>
      </c>
      <c r="E572" s="141">
        <f t="shared" si="80"/>
        <v>22440014.18</v>
      </c>
      <c r="F572" s="141">
        <v>15228554.02</v>
      </c>
      <c r="G572" s="141">
        <f t="shared" si="81"/>
        <v>7211460.1600000001</v>
      </c>
      <c r="H572" s="141">
        <v>718740.51</v>
      </c>
      <c r="I572" s="141"/>
      <c r="J572" s="91">
        <v>2585678.08</v>
      </c>
      <c r="K572" s="141">
        <v>1514683.38</v>
      </c>
      <c r="L572" s="146"/>
      <c r="M572" s="146">
        <v>1000063.06</v>
      </c>
      <c r="N572" s="146"/>
      <c r="O572" s="146">
        <v>70931.64</v>
      </c>
      <c r="P572" s="141">
        <v>234011.9</v>
      </c>
      <c r="Q572" s="141"/>
      <c r="R572" s="141">
        <v>480194.81</v>
      </c>
      <c r="S572" s="141"/>
      <c r="T572" s="141">
        <v>87288.25</v>
      </c>
      <c r="U572" s="141"/>
      <c r="V572" s="141">
        <v>8135.75</v>
      </c>
      <c r="W572" s="141"/>
      <c r="X572" s="141"/>
      <c r="Y572" s="162"/>
      <c r="Z572" s="91">
        <f t="shared" si="82"/>
        <v>5948105.1700000009</v>
      </c>
      <c r="AA572" s="92">
        <v>5948105.1699999999</v>
      </c>
      <c r="AB572" s="92">
        <f t="shared" si="83"/>
        <v>0</v>
      </c>
    </row>
    <row r="573" spans="1:28" x14ac:dyDescent="0.2">
      <c r="A573" s="140">
        <v>39813</v>
      </c>
      <c r="B573" s="141">
        <v>11683360.77</v>
      </c>
      <c r="C573" s="141">
        <v>2838.38</v>
      </c>
      <c r="D573" s="141">
        <v>15228554.02</v>
      </c>
      <c r="E573" s="141">
        <f t="shared" si="80"/>
        <v>26909076.409999996</v>
      </c>
      <c r="F573" s="141">
        <v>17036104.800000001</v>
      </c>
      <c r="G573" s="141">
        <f t="shared" si="81"/>
        <v>9872971.6099999957</v>
      </c>
      <c r="H573" s="141">
        <v>1476879.74</v>
      </c>
      <c r="I573" s="141"/>
      <c r="J573" s="91">
        <v>3219705.81</v>
      </c>
      <c r="K573" s="141">
        <f>1949837.91</f>
        <v>1949837.91</v>
      </c>
      <c r="L573" s="146"/>
      <c r="M573" s="146">
        <v>1196663.8600000001</v>
      </c>
      <c r="N573" s="146"/>
      <c r="O573" s="146">
        <v>73204.039999999994</v>
      </c>
      <c r="P573" s="141">
        <v>249086.47</v>
      </c>
      <c r="Q573" s="141"/>
      <c r="R573" s="141">
        <v>561847.54</v>
      </c>
      <c r="S573" s="141"/>
      <c r="T573" s="141">
        <v>191272.31</v>
      </c>
      <c r="U573" s="141"/>
      <c r="V573" s="141">
        <v>443.71</v>
      </c>
      <c r="W573" s="141"/>
      <c r="X573" s="141"/>
      <c r="Y573" s="162"/>
      <c r="Z573" s="91">
        <f t="shared" si="82"/>
        <v>5982174.2299999986</v>
      </c>
      <c r="AA573" s="92">
        <v>5982174.2300000004</v>
      </c>
      <c r="AB573" s="92">
        <f t="shared" si="83"/>
        <v>0</v>
      </c>
    </row>
    <row r="574" spans="1:28" x14ac:dyDescent="0.2">
      <c r="A574" s="140">
        <v>39903</v>
      </c>
      <c r="B574" s="141">
        <v>2460348.5099999998</v>
      </c>
      <c r="C574" s="141">
        <v>24395.22</v>
      </c>
      <c r="D574" s="141">
        <v>17036104.800000001</v>
      </c>
      <c r="E574" s="141">
        <f t="shared" si="80"/>
        <v>19472058.09</v>
      </c>
      <c r="F574" s="141">
        <v>10682485.140000001</v>
      </c>
      <c r="G574" s="141">
        <f t="shared" si="81"/>
        <v>8789572.9499999993</v>
      </c>
      <c r="H574" s="141">
        <v>1917106.76</v>
      </c>
      <c r="I574" s="141"/>
      <c r="J574" s="91">
        <v>582293.81999999995</v>
      </c>
      <c r="K574" s="141">
        <v>557627.53</v>
      </c>
      <c r="L574" s="146"/>
      <c r="M574" s="146">
        <v>24666.29</v>
      </c>
      <c r="N574" s="146"/>
      <c r="O574" s="146">
        <v>0</v>
      </c>
      <c r="P574" s="141">
        <v>-219343.16</v>
      </c>
      <c r="Q574" s="141"/>
      <c r="R574" s="141">
        <v>68797.27</v>
      </c>
      <c r="S574" s="141"/>
      <c r="T574" s="141">
        <v>233637.42</v>
      </c>
      <c r="U574" s="141"/>
      <c r="V574" s="141">
        <v>0</v>
      </c>
      <c r="W574" s="141"/>
      <c r="X574" s="141"/>
      <c r="Y574" s="162"/>
      <c r="Z574" s="91">
        <f t="shared" si="82"/>
        <v>-146538.82000000041</v>
      </c>
      <c r="AA574" s="92">
        <v>-146538.82</v>
      </c>
      <c r="AB574" s="92">
        <f t="shared" si="83"/>
        <v>-4.0745362639427185E-10</v>
      </c>
    </row>
    <row r="575" spans="1:28" x14ac:dyDescent="0.2">
      <c r="A575" s="140">
        <v>39994</v>
      </c>
      <c r="B575" s="141">
        <v>578452.46</v>
      </c>
      <c r="C575" s="141">
        <v>44896.26</v>
      </c>
      <c r="D575" s="141">
        <v>10682485.140000001</v>
      </c>
      <c r="E575" s="141">
        <f t="shared" si="80"/>
        <v>11216041.34</v>
      </c>
      <c r="F575" s="141">
        <v>4879851.99</v>
      </c>
      <c r="G575" s="141">
        <f t="shared" si="81"/>
        <v>6336189.3499999996</v>
      </c>
      <c r="H575" s="141">
        <v>2241187.12</v>
      </c>
      <c r="I575" s="141"/>
      <c r="J575" s="91">
        <v>-57635.58</v>
      </c>
      <c r="K575" s="141">
        <f>-179687.1+59188.74+86453.3+21421.63</f>
        <v>-12623.430000000011</v>
      </c>
      <c r="L575" s="146"/>
      <c r="M575" s="146">
        <f>-4652+1503+-18840+-23023.15</f>
        <v>-45012.15</v>
      </c>
      <c r="N575" s="146"/>
      <c r="O575" s="146">
        <v>0</v>
      </c>
      <c r="P575" s="141">
        <v>369329.72</v>
      </c>
      <c r="Q575" s="141"/>
      <c r="R575" s="141">
        <v>-10661.73</v>
      </c>
      <c r="S575" s="141"/>
      <c r="T575" s="141">
        <v>309260.13</v>
      </c>
      <c r="U575" s="141"/>
      <c r="V575" s="141">
        <v>0</v>
      </c>
      <c r="W575" s="141"/>
      <c r="X575" s="141"/>
      <c r="Y575" s="162"/>
      <c r="Z575" s="91">
        <f t="shared" si="82"/>
        <v>-2317923.46</v>
      </c>
      <c r="AA575" s="92">
        <v>-2317923.46</v>
      </c>
      <c r="AB575" s="92">
        <f t="shared" si="83"/>
        <v>0</v>
      </c>
    </row>
    <row r="576" spans="1:28" x14ac:dyDescent="0.2">
      <c r="A576" s="140">
        <v>40086</v>
      </c>
      <c r="B576" s="141">
        <v>-585626.84</v>
      </c>
      <c r="C576" s="141">
        <v>194523.82</v>
      </c>
      <c r="D576" s="141">
        <v>4879851.99</v>
      </c>
      <c r="E576" s="141">
        <f t="shared" si="80"/>
        <v>4099701.33</v>
      </c>
      <c r="F576" s="141">
        <v>1175588.0900000001</v>
      </c>
      <c r="G576" s="141">
        <f t="shared" si="81"/>
        <v>2924113.24</v>
      </c>
      <c r="H576" s="141">
        <v>2272190.13</v>
      </c>
      <c r="I576" s="141"/>
      <c r="J576" s="91">
        <v>-124050.96</v>
      </c>
      <c r="K576" s="141">
        <f>-95583.95+23347.35+-32502.82+9921.58</f>
        <v>-94817.840000000011</v>
      </c>
      <c r="L576" s="146"/>
      <c r="M576" s="146">
        <f>-20578.12+-12120+5350+-1885</f>
        <v>-29233.119999999999</v>
      </c>
      <c r="N576" s="146"/>
      <c r="O576" s="146">
        <v>0</v>
      </c>
      <c r="P576" s="141">
        <v>5343.18</v>
      </c>
      <c r="Q576" s="141"/>
      <c r="R576" s="141">
        <v>-45404.32</v>
      </c>
      <c r="S576" s="141"/>
      <c r="T576" s="141">
        <v>404685.9</v>
      </c>
      <c r="U576" s="141"/>
      <c r="V576" s="141">
        <v>0</v>
      </c>
      <c r="W576" s="141"/>
      <c r="X576" s="141"/>
      <c r="Y576" s="162"/>
      <c r="Z576" s="91">
        <f t="shared" si="82"/>
        <v>-3292914.5900000003</v>
      </c>
      <c r="AA576" s="92">
        <v>-3292914.59</v>
      </c>
      <c r="AB576" s="92">
        <f t="shared" si="83"/>
        <v>0</v>
      </c>
    </row>
    <row r="577" spans="1:28" x14ac:dyDescent="0.2">
      <c r="A577" s="140">
        <v>40178</v>
      </c>
      <c r="B577" s="141">
        <v>-575720.07999999996</v>
      </c>
      <c r="C577" s="141">
        <v>253996.77</v>
      </c>
      <c r="D577" s="141">
        <v>1175588.0900000001</v>
      </c>
      <c r="E577" s="141">
        <f t="shared" si="80"/>
        <v>345871.24000000011</v>
      </c>
      <c r="F577" s="141">
        <v>0</v>
      </c>
      <c r="G577" s="141">
        <f t="shared" si="81"/>
        <v>345871.24000000011</v>
      </c>
      <c r="H577" s="141">
        <v>2372756.73</v>
      </c>
      <c r="I577" s="141"/>
      <c r="J577" s="91">
        <v>-114345.14</v>
      </c>
      <c r="K577" s="141">
        <v>-88071.43</v>
      </c>
      <c r="L577" s="146"/>
      <c r="M577" s="146">
        <v>-26273.71</v>
      </c>
      <c r="N577" s="146"/>
      <c r="O577" s="146">
        <v>0</v>
      </c>
      <c r="P577" s="141">
        <v>8841.49</v>
      </c>
      <c r="Q577" s="141"/>
      <c r="R577" s="141">
        <v>-32245.38</v>
      </c>
      <c r="S577" s="141"/>
      <c r="T577" s="141">
        <v>288142.40999999997</v>
      </c>
      <c r="U577" s="141"/>
      <c r="V577" s="141">
        <v>0</v>
      </c>
      <c r="W577" s="141"/>
      <c r="X577" s="141"/>
      <c r="Y577" s="162"/>
      <c r="Z577" s="91">
        <f t="shared" si="82"/>
        <v>-3352866.9600000004</v>
      </c>
      <c r="AA577" s="92">
        <v>-3352866.96</v>
      </c>
      <c r="AB577" s="92">
        <f t="shared" si="83"/>
        <v>0</v>
      </c>
    </row>
    <row r="578" spans="1:28" x14ac:dyDescent="0.2">
      <c r="A578" s="140">
        <v>40268</v>
      </c>
      <c r="B578" s="141">
        <v>-33705.919999999998</v>
      </c>
      <c r="C578" s="141">
        <v>113142.88</v>
      </c>
      <c r="D578" s="141">
        <v>0</v>
      </c>
      <c r="E578" s="141">
        <f t="shared" si="80"/>
        <v>-146848.79999999999</v>
      </c>
      <c r="F578" s="141">
        <v>0</v>
      </c>
      <c r="G578" s="141">
        <f t="shared" si="81"/>
        <v>-146848.79999999999</v>
      </c>
      <c r="H578" s="141">
        <v>1740958.17</v>
      </c>
      <c r="I578" s="141"/>
      <c r="J578" s="91">
        <v>-2450.2800000000002</v>
      </c>
      <c r="K578" s="141">
        <v>-2450.2800000000002</v>
      </c>
      <c r="L578" s="146"/>
      <c r="M578" s="146">
        <v>0</v>
      </c>
      <c r="N578" s="146"/>
      <c r="O578" s="146">
        <v>0</v>
      </c>
      <c r="P578" s="141">
        <v>224.11</v>
      </c>
      <c r="Q578" s="141"/>
      <c r="R578" s="141">
        <v>-4644.82</v>
      </c>
      <c r="S578" s="141"/>
      <c r="T578" s="141">
        <v>237700.27</v>
      </c>
      <c r="U578" s="141"/>
      <c r="V578" s="141">
        <v>0</v>
      </c>
      <c r="W578" s="141"/>
      <c r="X578" s="141"/>
      <c r="Y578" s="162"/>
      <c r="Z578" s="91">
        <f t="shared" si="82"/>
        <v>-2118636.25</v>
      </c>
      <c r="AA578" s="92">
        <v>-2118636.25</v>
      </c>
      <c r="AB578" s="92">
        <f t="shared" si="83"/>
        <v>0</v>
      </c>
    </row>
    <row r="579" spans="1:28" x14ac:dyDescent="0.2">
      <c r="A579" s="140">
        <v>40359</v>
      </c>
      <c r="B579" s="141">
        <v>-262502</v>
      </c>
      <c r="C579" s="141">
        <v>117063.66</v>
      </c>
      <c r="D579" s="141">
        <v>0</v>
      </c>
      <c r="E579" s="141">
        <f t="shared" si="80"/>
        <v>-379565.66000000003</v>
      </c>
      <c r="F579" s="141">
        <v>0</v>
      </c>
      <c r="G579" s="141">
        <f t="shared" si="81"/>
        <v>-379565.66000000003</v>
      </c>
      <c r="H579" s="141">
        <v>1768367.84</v>
      </c>
      <c r="I579" s="141"/>
      <c r="J579" s="91">
        <v>-50911.15</v>
      </c>
      <c r="K579" s="141">
        <v>-48685.15</v>
      </c>
      <c r="L579" s="146"/>
      <c r="M579" s="146">
        <v>-2226</v>
      </c>
      <c r="N579" s="146"/>
      <c r="O579" s="146">
        <v>0</v>
      </c>
      <c r="P579" s="141">
        <v>-11.17</v>
      </c>
      <c r="Q579" s="141"/>
      <c r="R579" s="141">
        <v>-15248.53</v>
      </c>
      <c r="S579" s="141"/>
      <c r="T579" s="141">
        <v>204004.69</v>
      </c>
      <c r="U579" s="141"/>
      <c r="V579" s="141">
        <v>0</v>
      </c>
      <c r="W579" s="141"/>
      <c r="X579" s="141"/>
      <c r="Y579" s="162"/>
      <c r="Z579" s="91">
        <f t="shared" si="82"/>
        <v>-2285767.3400000003</v>
      </c>
      <c r="AA579" s="92">
        <v>-2285767.34</v>
      </c>
      <c r="AB579" s="92">
        <f t="shared" si="83"/>
        <v>0</v>
      </c>
    </row>
    <row r="580" spans="1:28" x14ac:dyDescent="0.2">
      <c r="A580" s="140">
        <v>40451</v>
      </c>
      <c r="B580" s="141">
        <v>-8135</v>
      </c>
      <c r="C580" s="141">
        <v>9433.7999999999993</v>
      </c>
      <c r="D580" s="141">
        <v>0</v>
      </c>
      <c r="E580" s="141">
        <f t="shared" si="80"/>
        <v>-17568.8</v>
      </c>
      <c r="F580" s="141">
        <v>0</v>
      </c>
      <c r="G580" s="141">
        <f t="shared" si="81"/>
        <v>-17568.8</v>
      </c>
      <c r="H580" s="141">
        <v>1797264.4</v>
      </c>
      <c r="I580" s="141"/>
      <c r="J580" s="91">
        <v>292.29000000000002</v>
      </c>
      <c r="K580" s="141">
        <v>1596.29</v>
      </c>
      <c r="L580" s="146"/>
      <c r="M580" s="146">
        <v>-1304</v>
      </c>
      <c r="N580" s="146"/>
      <c r="O580" s="146">
        <v>0</v>
      </c>
      <c r="P580" s="141">
        <v>-15.76</v>
      </c>
      <c r="Q580" s="141"/>
      <c r="R580" s="141">
        <v>4422.72</v>
      </c>
      <c r="S580" s="141"/>
      <c r="T580" s="141">
        <v>144597.01999999999</v>
      </c>
      <c r="U580" s="141"/>
      <c r="V580" s="141">
        <v>0</v>
      </c>
      <c r="W580" s="141"/>
      <c r="X580" s="141"/>
      <c r="Y580" s="162"/>
      <c r="Z580" s="91">
        <f t="shared" si="82"/>
        <v>-1964129.47</v>
      </c>
      <c r="AA580" s="92">
        <v>-1964129.47</v>
      </c>
      <c r="AB580" s="92">
        <f t="shared" si="83"/>
        <v>0</v>
      </c>
    </row>
    <row r="581" spans="1:28" x14ac:dyDescent="0.2">
      <c r="A581" s="140">
        <v>40543</v>
      </c>
      <c r="B581" s="141">
        <v>15970</v>
      </c>
      <c r="C581" s="141">
        <v>15782.9</v>
      </c>
      <c r="D581" s="141">
        <v>0</v>
      </c>
      <c r="E581" s="141">
        <f t="shared" si="80"/>
        <v>187.10000000000036</v>
      </c>
      <c r="F581" s="141">
        <v>0</v>
      </c>
      <c r="G581" s="141">
        <f t="shared" si="81"/>
        <v>187.10000000000036</v>
      </c>
      <c r="H581" s="141">
        <v>1234170.31</v>
      </c>
      <c r="I581" s="141"/>
      <c r="J581" s="91">
        <v>-1292.67</v>
      </c>
      <c r="K581" s="141">
        <v>-578.66999999999996</v>
      </c>
      <c r="L581" s="146"/>
      <c r="M581" s="146">
        <v>-713</v>
      </c>
      <c r="N581" s="146"/>
      <c r="O581" s="146">
        <v>0</v>
      </c>
      <c r="P581" s="141">
        <v>106.62</v>
      </c>
      <c r="Q581" s="141"/>
      <c r="R581" s="141">
        <v>-2208.8000000000002</v>
      </c>
      <c r="S581" s="141"/>
      <c r="T581" s="141">
        <v>107773.72</v>
      </c>
      <c r="U581" s="141"/>
      <c r="V581" s="141">
        <v>0</v>
      </c>
      <c r="W581" s="141"/>
      <c r="X581" s="141"/>
      <c r="Y581" s="162"/>
      <c r="Z581" s="91">
        <f t="shared" si="82"/>
        <v>-1338362.08</v>
      </c>
      <c r="AA581" s="92">
        <v>-1338362.08</v>
      </c>
      <c r="AB581" s="92">
        <f t="shared" si="83"/>
        <v>0</v>
      </c>
    </row>
    <row r="582" spans="1:28" x14ac:dyDescent="0.2">
      <c r="A582" s="288">
        <v>40633</v>
      </c>
      <c r="B582" s="141">
        <v>-7730</v>
      </c>
      <c r="C582" s="141">
        <v>-4200.54</v>
      </c>
      <c r="D582" s="141">
        <v>0</v>
      </c>
      <c r="E582" s="141">
        <f t="shared" si="80"/>
        <v>-3529.46</v>
      </c>
      <c r="F582" s="141">
        <v>0</v>
      </c>
      <c r="G582" s="141">
        <f t="shared" si="81"/>
        <v>-3529.46</v>
      </c>
      <c r="H582" s="141">
        <v>976659.37</v>
      </c>
      <c r="I582" s="141"/>
      <c r="J582" s="91">
        <v>-434.34</v>
      </c>
      <c r="K582" s="141">
        <v>-374.34</v>
      </c>
      <c r="L582" s="146"/>
      <c r="M582" s="146">
        <v>-60</v>
      </c>
      <c r="N582" s="146"/>
      <c r="O582" s="146"/>
      <c r="P582" s="141">
        <v>37.450000000000003</v>
      </c>
      <c r="Q582" s="141"/>
      <c r="R582" s="141">
        <v>-1160.77</v>
      </c>
      <c r="S582" s="141"/>
      <c r="T582" s="141">
        <v>84833.61</v>
      </c>
      <c r="U582" s="141"/>
      <c r="V582" s="141">
        <v>0</v>
      </c>
      <c r="W582" s="141"/>
      <c r="X582" s="141"/>
      <c r="Y582" s="162"/>
      <c r="Z582" s="91">
        <f t="shared" si="82"/>
        <v>-1063464.78</v>
      </c>
      <c r="AA582" s="92">
        <v>-1063464.78</v>
      </c>
      <c r="AB582" s="92">
        <f t="shared" si="83"/>
        <v>0</v>
      </c>
    </row>
    <row r="583" spans="1:28" x14ac:dyDescent="0.2">
      <c r="A583" s="288">
        <v>40724</v>
      </c>
      <c r="B583" s="141">
        <v>12489</v>
      </c>
      <c r="C583" s="141">
        <v>-2396.13</v>
      </c>
      <c r="D583" s="141">
        <v>0</v>
      </c>
      <c r="E583" s="141">
        <f t="shared" si="80"/>
        <v>14885.130000000001</v>
      </c>
      <c r="F583" s="141">
        <v>0</v>
      </c>
      <c r="G583" s="141">
        <f t="shared" si="81"/>
        <v>14885.130000000001</v>
      </c>
      <c r="H583" s="141">
        <v>782882.58</v>
      </c>
      <c r="I583" s="141"/>
      <c r="J583" s="91">
        <v>1848.96</v>
      </c>
      <c r="K583" s="141">
        <v>1814.96</v>
      </c>
      <c r="L583" s="146"/>
      <c r="M583" s="146">
        <v>34</v>
      </c>
      <c r="N583" s="146"/>
      <c r="O583" s="146"/>
      <c r="P583" s="141">
        <v>11.24</v>
      </c>
      <c r="Q583" s="141"/>
      <c r="R583" s="141">
        <v>354.1</v>
      </c>
      <c r="S583" s="141"/>
      <c r="T583" s="141">
        <v>84975.15</v>
      </c>
      <c r="U583" s="141"/>
      <c r="V583" s="141">
        <v>0</v>
      </c>
      <c r="W583" s="141"/>
      <c r="X583" s="141"/>
      <c r="Y583" s="162"/>
      <c r="Z583" s="91">
        <f t="shared" si="82"/>
        <v>-855186.89999999991</v>
      </c>
      <c r="AA583" s="92">
        <v>-855186.9</v>
      </c>
      <c r="AB583" s="92">
        <f t="shared" si="83"/>
        <v>0</v>
      </c>
    </row>
    <row r="584" spans="1:28" x14ac:dyDescent="0.2">
      <c r="A584" s="288">
        <v>40816</v>
      </c>
      <c r="B584" s="83">
        <v>-9226</v>
      </c>
      <c r="C584" s="83">
        <v>-9879.9699999999993</v>
      </c>
      <c r="D584" s="83">
        <v>0</v>
      </c>
      <c r="E584" s="141">
        <f t="shared" si="80"/>
        <v>653.96999999999935</v>
      </c>
      <c r="F584" s="83">
        <v>0</v>
      </c>
      <c r="G584" s="141">
        <f t="shared" si="81"/>
        <v>653.96999999999935</v>
      </c>
      <c r="H584" s="141">
        <v>797859.14</v>
      </c>
      <c r="I584" s="141"/>
      <c r="J584" s="91">
        <v>-1194.5899999999999</v>
      </c>
      <c r="K584" s="141">
        <v>-197.59</v>
      </c>
      <c r="L584" s="146"/>
      <c r="M584" s="146">
        <v>-997</v>
      </c>
      <c r="N584" s="146"/>
      <c r="O584" s="146"/>
      <c r="P584" s="141">
        <v>43.72</v>
      </c>
      <c r="Q584" s="141"/>
      <c r="R584" s="141">
        <v>409.22</v>
      </c>
      <c r="S584" s="141"/>
      <c r="T584" s="141">
        <v>62046.28</v>
      </c>
      <c r="U584" s="141"/>
      <c r="V584" s="141">
        <v>0</v>
      </c>
      <c r="W584" s="141"/>
      <c r="X584" s="141"/>
      <c r="Y584" s="162"/>
      <c r="Z584" s="91">
        <f t="shared" si="82"/>
        <v>-858509.8</v>
      </c>
      <c r="AA584" s="92">
        <v>-858509.8</v>
      </c>
      <c r="AB584" s="92">
        <f t="shared" si="83"/>
        <v>0</v>
      </c>
    </row>
    <row r="585" spans="1:28" x14ac:dyDescent="0.2">
      <c r="A585" s="288">
        <v>40908</v>
      </c>
      <c r="B585" s="83">
        <v>-6853</v>
      </c>
      <c r="C585" s="83">
        <v>-6016.86</v>
      </c>
      <c r="D585" s="83">
        <v>0</v>
      </c>
      <c r="E585" s="141">
        <f t="shared" si="80"/>
        <v>-836.14000000000033</v>
      </c>
      <c r="F585" s="83">
        <v>0</v>
      </c>
      <c r="G585" s="141">
        <f t="shared" si="81"/>
        <v>-836.14000000000033</v>
      </c>
      <c r="H585" s="141">
        <v>547178.86</v>
      </c>
      <c r="I585" s="141"/>
      <c r="J585" s="91">
        <v>-1512.1</v>
      </c>
      <c r="K585" s="141">
        <f>48.32+-869.32+-415.1</f>
        <v>-1236.0999999999999</v>
      </c>
      <c r="L585" s="146"/>
      <c r="M585" s="146">
        <f>1+-225+-52</f>
        <v>-276</v>
      </c>
      <c r="N585" s="146"/>
      <c r="O585" s="146">
        <v>0</v>
      </c>
      <c r="P585" s="141">
        <v>39.01</v>
      </c>
      <c r="Q585" s="141"/>
      <c r="R585" s="141">
        <v>-178.95</v>
      </c>
      <c r="S585" s="141"/>
      <c r="T585" s="141">
        <v>61418.02</v>
      </c>
      <c r="U585" s="141"/>
      <c r="V585" s="141">
        <v>0</v>
      </c>
      <c r="W585" s="141"/>
      <c r="X585" s="141"/>
      <c r="Y585" s="162"/>
      <c r="Z585" s="91">
        <f t="shared" si="82"/>
        <v>-607780.9800000001</v>
      </c>
      <c r="AA585" s="92">
        <v>-607781.98</v>
      </c>
      <c r="AB585" s="92">
        <f t="shared" si="83"/>
        <v>0.99999999988358468</v>
      </c>
    </row>
    <row r="586" spans="1:28" x14ac:dyDescent="0.2">
      <c r="A586" s="288">
        <v>40999</v>
      </c>
      <c r="B586" s="83">
        <v>-8524</v>
      </c>
      <c r="C586" s="83">
        <v>-635.01</v>
      </c>
      <c r="D586" s="83">
        <v>0</v>
      </c>
      <c r="E586" s="141">
        <f t="shared" si="80"/>
        <v>-7888.99</v>
      </c>
      <c r="F586" s="83">
        <v>0</v>
      </c>
      <c r="G586" s="141">
        <f t="shared" si="81"/>
        <v>-7888.99</v>
      </c>
      <c r="H586" s="141">
        <v>845048.83</v>
      </c>
      <c r="I586" s="141"/>
      <c r="J586" s="91">
        <v>-1342.5</v>
      </c>
      <c r="K586" s="141">
        <v>-1430.5</v>
      </c>
      <c r="L586" s="146"/>
      <c r="M586" s="146">
        <v>88</v>
      </c>
      <c r="N586" s="146"/>
      <c r="O586" s="146">
        <v>0</v>
      </c>
      <c r="P586" s="141">
        <v>0</v>
      </c>
      <c r="Q586" s="141"/>
      <c r="R586" s="141">
        <v>339.91</v>
      </c>
      <c r="S586" s="141"/>
      <c r="T586" s="141">
        <v>56261.82</v>
      </c>
      <c r="U586" s="141"/>
      <c r="V586" s="141">
        <v>0</v>
      </c>
      <c r="W586" s="141"/>
      <c r="X586" s="141"/>
      <c r="Y586" s="162"/>
      <c r="Z586" s="91">
        <f t="shared" si="82"/>
        <v>-908197.04999999993</v>
      </c>
      <c r="AA586" s="92">
        <v>-908197.04</v>
      </c>
      <c r="AB586" s="92">
        <f t="shared" si="83"/>
        <v>-9.9999998928979039E-3</v>
      </c>
    </row>
    <row r="587" spans="1:28" x14ac:dyDescent="0.2">
      <c r="A587" s="288">
        <v>41090</v>
      </c>
      <c r="B587" s="83">
        <v>-3465</v>
      </c>
      <c r="C587" s="83">
        <v>-7750.14</v>
      </c>
      <c r="D587" s="83">
        <v>0</v>
      </c>
      <c r="E587" s="141">
        <f t="shared" si="80"/>
        <v>4285.1400000000003</v>
      </c>
      <c r="F587" s="83">
        <v>0</v>
      </c>
      <c r="G587" s="141">
        <f t="shared" si="81"/>
        <v>4285.1400000000003</v>
      </c>
      <c r="H587" s="141">
        <v>413014.42</v>
      </c>
      <c r="I587" s="141"/>
      <c r="J587" s="91">
        <v>-614.52</v>
      </c>
      <c r="K587" s="141">
        <v>-615.52</v>
      </c>
      <c r="L587" s="146"/>
      <c r="M587" s="146">
        <v>1</v>
      </c>
      <c r="N587" s="146"/>
      <c r="O587" s="146">
        <v>0</v>
      </c>
      <c r="P587" s="141">
        <v>0</v>
      </c>
      <c r="Q587" s="141"/>
      <c r="R587" s="141">
        <v>-322.16000000000003</v>
      </c>
      <c r="S587" s="141"/>
      <c r="T587" s="141">
        <v>44010.61</v>
      </c>
      <c r="U587" s="141"/>
      <c r="V587" s="141">
        <v>0</v>
      </c>
      <c r="W587" s="141"/>
      <c r="X587" s="141"/>
      <c r="Y587" s="162"/>
      <c r="Z587" s="91">
        <f t="shared" si="82"/>
        <v>-451803.20999999996</v>
      </c>
      <c r="AA587" s="92">
        <v>-451803.21</v>
      </c>
      <c r="AB587" s="92">
        <f t="shared" si="83"/>
        <v>0</v>
      </c>
    </row>
    <row r="588" spans="1:28" x14ac:dyDescent="0.2">
      <c r="A588" s="288">
        <v>41182</v>
      </c>
      <c r="B588" s="83">
        <v>-518</v>
      </c>
      <c r="C588" s="83">
        <v>-8181.79</v>
      </c>
      <c r="D588" s="83">
        <v>0</v>
      </c>
      <c r="E588" s="141">
        <f t="shared" si="80"/>
        <v>7663.79</v>
      </c>
      <c r="F588" s="83">
        <v>0</v>
      </c>
      <c r="G588" s="141">
        <f t="shared" si="81"/>
        <v>7663.79</v>
      </c>
      <c r="H588" s="141">
        <v>170652.22</v>
      </c>
      <c r="I588" s="141"/>
      <c r="J588" s="91">
        <v>-85.2</v>
      </c>
      <c r="K588" s="141">
        <v>-100.2</v>
      </c>
      <c r="L588" s="146"/>
      <c r="M588" s="146">
        <v>15</v>
      </c>
      <c r="N588" s="146"/>
      <c r="O588" s="146">
        <v>0</v>
      </c>
      <c r="P588" s="141">
        <v>0</v>
      </c>
      <c r="Q588" s="141"/>
      <c r="R588" s="141">
        <v>510.06</v>
      </c>
      <c r="S588" s="141"/>
      <c r="T588" s="141">
        <v>27930.799999999999</v>
      </c>
      <c r="U588" s="141"/>
      <c r="V588" s="141">
        <v>0</v>
      </c>
      <c r="W588" s="141"/>
      <c r="X588" s="141"/>
      <c r="Y588" s="162"/>
      <c r="Z588" s="91">
        <f t="shared" si="82"/>
        <v>-191344.08999999997</v>
      </c>
      <c r="AA588" s="92">
        <v>-191344.09</v>
      </c>
      <c r="AB588" s="92">
        <f>Z588-AA588</f>
        <v>0</v>
      </c>
    </row>
    <row r="589" spans="1:28" x14ac:dyDescent="0.2">
      <c r="A589" s="288">
        <v>41274</v>
      </c>
      <c r="B589" s="83">
        <v>-15614</v>
      </c>
      <c r="C589" s="83">
        <v>-8173.66</v>
      </c>
      <c r="D589" s="83">
        <v>0</v>
      </c>
      <c r="E589" s="141">
        <f t="shared" si="80"/>
        <v>-7440.34</v>
      </c>
      <c r="F589" s="83">
        <v>0</v>
      </c>
      <c r="G589" s="141">
        <f t="shared" si="81"/>
        <v>-7440.34</v>
      </c>
      <c r="H589" s="141">
        <v>171924.33</v>
      </c>
      <c r="I589" s="141"/>
      <c r="J589" s="91">
        <v>-3490.51</v>
      </c>
      <c r="K589" s="141">
        <v>-2796.51</v>
      </c>
      <c r="L589" s="146"/>
      <c r="M589" s="146">
        <v>-694</v>
      </c>
      <c r="N589" s="146"/>
      <c r="O589" s="146">
        <v>0</v>
      </c>
      <c r="P589" s="141">
        <v>0</v>
      </c>
      <c r="Q589" s="141"/>
      <c r="R589" s="141">
        <v>576.66</v>
      </c>
      <c r="S589" s="141"/>
      <c r="T589" s="141">
        <v>27515.84</v>
      </c>
      <c r="U589" s="141"/>
      <c r="V589" s="141">
        <v>0</v>
      </c>
      <c r="W589" s="141"/>
      <c r="X589" s="141"/>
      <c r="Y589" s="162"/>
      <c r="Z589" s="91">
        <f t="shared" si="82"/>
        <v>-203966.65999999997</v>
      </c>
      <c r="AA589" s="92">
        <v>-203966.66</v>
      </c>
      <c r="AB589" s="92">
        <f>Z589-AA589</f>
        <v>0</v>
      </c>
    </row>
    <row r="590" spans="1:28" x14ac:dyDescent="0.2">
      <c r="A590" s="288">
        <v>41364</v>
      </c>
      <c r="B590" s="83">
        <v>-2687</v>
      </c>
      <c r="C590" s="83">
        <v>-141.38</v>
      </c>
      <c r="D590" s="83">
        <v>0</v>
      </c>
      <c r="E590" s="141">
        <f t="shared" si="80"/>
        <v>-2545.62</v>
      </c>
      <c r="F590" s="83">
        <v>0</v>
      </c>
      <c r="G590" s="141">
        <f t="shared" si="81"/>
        <v>-2545.62</v>
      </c>
      <c r="H590" s="141">
        <v>107576.49</v>
      </c>
      <c r="I590" s="141"/>
      <c r="J590" s="91">
        <v>-596.48</v>
      </c>
      <c r="K590" s="141">
        <v>-481.48</v>
      </c>
      <c r="L590" s="146"/>
      <c r="M590" s="146">
        <v>-115</v>
      </c>
      <c r="N590" s="146"/>
      <c r="O590" s="146">
        <v>0</v>
      </c>
      <c r="P590" s="141">
        <v>0</v>
      </c>
      <c r="Q590" s="141"/>
      <c r="R590" s="141">
        <v>-154.47</v>
      </c>
      <c r="S590" s="141"/>
      <c r="T590" s="141">
        <v>15158.05</v>
      </c>
      <c r="U590" s="141"/>
      <c r="V590" s="141">
        <v>0</v>
      </c>
      <c r="W590" s="141"/>
      <c r="X590" s="141"/>
      <c r="Y590" s="162"/>
      <c r="Z590" s="91">
        <f t="shared" si="82"/>
        <v>-124529.21</v>
      </c>
      <c r="AA590" s="92">
        <v>-124529.21</v>
      </c>
      <c r="AB590" s="92">
        <f>Z590-AA590</f>
        <v>0</v>
      </c>
    </row>
    <row r="591" spans="1:28" x14ac:dyDescent="0.2">
      <c r="A591" s="288">
        <v>41455</v>
      </c>
      <c r="B591" s="83">
        <v>1496</v>
      </c>
      <c r="C591" s="83">
        <v>-4661.03</v>
      </c>
      <c r="D591" s="83">
        <v>0</v>
      </c>
      <c r="E591" s="141">
        <f t="shared" si="80"/>
        <v>6157.03</v>
      </c>
      <c r="F591" s="83">
        <v>0</v>
      </c>
      <c r="G591" s="141">
        <f t="shared" si="81"/>
        <v>6157.03</v>
      </c>
      <c r="H591" s="141">
        <v>334871.42</v>
      </c>
      <c r="I591" s="141"/>
      <c r="J591" s="91">
        <v>221.76</v>
      </c>
      <c r="K591" s="141">
        <v>288.76</v>
      </c>
      <c r="L591" s="146"/>
      <c r="M591" s="146">
        <v>-67</v>
      </c>
      <c r="N591" s="146"/>
      <c r="O591" s="146">
        <v>0</v>
      </c>
      <c r="P591" s="141">
        <v>0</v>
      </c>
      <c r="Q591" s="141"/>
      <c r="R591" s="141">
        <v>-474.03</v>
      </c>
      <c r="S591" s="141"/>
      <c r="T591" s="141">
        <v>17278.95</v>
      </c>
      <c r="U591" s="141"/>
      <c r="V591" s="141">
        <v>0</v>
      </c>
      <c r="W591" s="141"/>
      <c r="X591" s="141"/>
      <c r="Y591" s="162"/>
      <c r="Z591" s="91">
        <f t="shared" si="82"/>
        <v>-345741.06999999995</v>
      </c>
      <c r="AA591" s="92">
        <v>-345741.07</v>
      </c>
      <c r="AB591" s="92">
        <f>Z591-AA591</f>
        <v>0</v>
      </c>
    </row>
    <row r="592" spans="1:28" x14ac:dyDescent="0.2">
      <c r="A592" s="288">
        <v>41547</v>
      </c>
      <c r="B592" s="83">
        <v>-985</v>
      </c>
      <c r="C592" s="83">
        <v>503.6</v>
      </c>
      <c r="D592" s="83">
        <v>0</v>
      </c>
      <c r="E592" s="141">
        <f t="shared" si="80"/>
        <v>-1488.6</v>
      </c>
      <c r="F592" s="83">
        <v>0</v>
      </c>
      <c r="G592" s="141">
        <f t="shared" si="81"/>
        <v>-1488.6</v>
      </c>
      <c r="H592" s="141">
        <v>164344.84</v>
      </c>
      <c r="I592" s="141"/>
      <c r="J592" s="91">
        <v>-268.47000000000003</v>
      </c>
      <c r="K592" s="141">
        <v>-177.47</v>
      </c>
      <c r="L592" s="146"/>
      <c r="M592" s="146">
        <v>-91</v>
      </c>
      <c r="N592" s="146"/>
      <c r="O592" s="146"/>
      <c r="P592" s="141">
        <v>0</v>
      </c>
      <c r="Q592" s="141"/>
      <c r="R592" s="141">
        <v>-4984.83</v>
      </c>
      <c r="S592" s="141"/>
      <c r="T592" s="141">
        <v>57609.86</v>
      </c>
      <c r="U592" s="141"/>
      <c r="V592" s="141">
        <v>0</v>
      </c>
      <c r="W592" s="141"/>
      <c r="X592" s="141"/>
      <c r="Y592" s="162"/>
      <c r="Z592" s="91">
        <f t="shared" si="82"/>
        <v>-218190</v>
      </c>
      <c r="AA592" s="92">
        <v>-218190</v>
      </c>
      <c r="AB592" s="92">
        <f>Z592-AA592</f>
        <v>0</v>
      </c>
    </row>
    <row r="593" spans="1:28" x14ac:dyDescent="0.2">
      <c r="A593" s="135"/>
      <c r="B593" s="163">
        <f>SUM(B570:B592)</f>
        <v>42065959.049999997</v>
      </c>
      <c r="C593" s="163">
        <f>SUM(C570:C592)</f>
        <v>725516.4</v>
      </c>
      <c r="D593" s="163">
        <f>D589</f>
        <v>0</v>
      </c>
      <c r="E593" s="163">
        <f>SUM(E570:E592)</f>
        <v>110188465.43000001</v>
      </c>
      <c r="F593" s="163">
        <f>F589</f>
        <v>0</v>
      </c>
      <c r="G593" s="163">
        <f>SUM(G570:G592)</f>
        <v>41340442.650000006</v>
      </c>
      <c r="H593" s="163">
        <f>SUM(H570:H592)</f>
        <v>23133865.979999997</v>
      </c>
      <c r="I593" s="163"/>
      <c r="J593" s="163">
        <f>SUM(J570:J592)</f>
        <v>11390682.65</v>
      </c>
      <c r="K593" s="163">
        <f>SUM(K570:K592)</f>
        <v>6734242.8900000015</v>
      </c>
      <c r="L593" s="137">
        <f>K593/G593</f>
        <v>0.16289721295473358</v>
      </c>
      <c r="M593" s="163">
        <f>SUM(M570:M592)</f>
        <v>4328982</v>
      </c>
      <c r="N593" s="129">
        <f>M593/G593</f>
        <v>0.10471542447308554</v>
      </c>
      <c r="O593" s="163">
        <f>SUM(O570:O581)</f>
        <v>327458.76</v>
      </c>
      <c r="P593" s="163">
        <f>SUM(P570:P592)</f>
        <v>1112174.6400000001</v>
      </c>
      <c r="Q593" s="129">
        <f>P593/G593</f>
        <v>2.6902823692914666E-2</v>
      </c>
      <c r="R593" s="163">
        <f>SUM(R570:R592)</f>
        <v>1991114.75</v>
      </c>
      <c r="S593" s="97">
        <f>R593/G593</f>
        <v>4.8163846886143578E-2</v>
      </c>
      <c r="T593" s="163">
        <f>SUM(T570:T592)</f>
        <v>2786093.7599999988</v>
      </c>
      <c r="U593" s="129">
        <f>T593/G593</f>
        <v>6.7393902469498557E-2</v>
      </c>
      <c r="V593" s="163">
        <f>SUM(V570:V592)</f>
        <v>22457.22</v>
      </c>
      <c r="W593" s="97">
        <f>V593/G593</f>
        <v>5.4322640398723446E-4</v>
      </c>
      <c r="X593" s="163">
        <f>SUM(X570:X579)</f>
        <v>0</v>
      </c>
      <c r="Y593" s="163">
        <f>SUM(Y570:Y579)</f>
        <v>0</v>
      </c>
      <c r="Z593" s="163">
        <f>ROUND(SUM(Z570:Z592),2)</f>
        <v>948968.09</v>
      </c>
    </row>
    <row r="594" spans="1:28" x14ac:dyDescent="0.2">
      <c r="Z594" s="153">
        <f>ROUND(B593-C593-H593-J593-P593-R593-T593+V593,2)</f>
        <v>948968.09</v>
      </c>
    </row>
    <row r="595" spans="1:28" x14ac:dyDescent="0.2">
      <c r="A595" s="154" t="s">
        <v>214</v>
      </c>
      <c r="Z595" s="156" t="str">
        <f>IF(Z594=Z593,"Check","NO")</f>
        <v>Check</v>
      </c>
    </row>
    <row r="596" spans="1:28" ht="38.25" x14ac:dyDescent="0.2">
      <c r="A596" s="86" t="s">
        <v>143</v>
      </c>
      <c r="B596" s="87" t="s">
        <v>144</v>
      </c>
      <c r="C596" s="87" t="s">
        <v>145</v>
      </c>
      <c r="D596" s="87" t="s">
        <v>170</v>
      </c>
      <c r="E596" s="87" t="s">
        <v>171</v>
      </c>
      <c r="F596" s="87" t="s">
        <v>172</v>
      </c>
      <c r="G596" s="87" t="s">
        <v>146</v>
      </c>
      <c r="H596" s="87" t="s">
        <v>147</v>
      </c>
      <c r="I596" s="87" t="s">
        <v>148</v>
      </c>
      <c r="J596" s="87" t="s">
        <v>169</v>
      </c>
      <c r="K596" s="87" t="s">
        <v>136</v>
      </c>
      <c r="L596" s="87" t="s">
        <v>149</v>
      </c>
      <c r="M596" s="87" t="s">
        <v>163</v>
      </c>
      <c r="N596" s="87" t="s">
        <v>164</v>
      </c>
      <c r="O596" s="87" t="s">
        <v>207</v>
      </c>
      <c r="P596" s="87" t="s">
        <v>150</v>
      </c>
      <c r="Q596" s="87" t="s">
        <v>151</v>
      </c>
      <c r="R596" s="87" t="s">
        <v>152</v>
      </c>
      <c r="S596" s="87" t="s">
        <v>153</v>
      </c>
      <c r="T596" s="87" t="s">
        <v>154</v>
      </c>
      <c r="U596" s="87" t="s">
        <v>155</v>
      </c>
      <c r="V596" s="87" t="s">
        <v>156</v>
      </c>
      <c r="W596" s="87" t="s">
        <v>157</v>
      </c>
      <c r="X596" s="87" t="s">
        <v>165</v>
      </c>
      <c r="Y596" s="87" t="s">
        <v>166</v>
      </c>
      <c r="Z596" s="87" t="s">
        <v>158</v>
      </c>
      <c r="AA596" s="87" t="s">
        <v>173</v>
      </c>
      <c r="AB596" s="87" t="s">
        <v>175</v>
      </c>
    </row>
    <row r="597" spans="1:28" x14ac:dyDescent="0.2">
      <c r="A597" s="140">
        <v>39903</v>
      </c>
      <c r="B597" s="83">
        <v>9244171.3599999994</v>
      </c>
      <c r="C597" s="83">
        <v>0</v>
      </c>
      <c r="D597" s="83">
        <v>0</v>
      </c>
      <c r="E597" s="141">
        <f t="shared" ref="E597:E615" si="84">B597-C597+D597</f>
        <v>9244171.3599999994</v>
      </c>
      <c r="F597" s="83">
        <v>7481257.8799999999</v>
      </c>
      <c r="G597" s="141">
        <f t="shared" ref="G597:G615" si="85">E597-F597</f>
        <v>1762913.4799999995</v>
      </c>
      <c r="H597" s="83">
        <v>37728.730000000003</v>
      </c>
      <c r="J597" s="91">
        <v>2646930.7000000002</v>
      </c>
      <c r="K597" s="83">
        <v>1435600.83</v>
      </c>
      <c r="M597" s="84">
        <v>1121620.3999999999</v>
      </c>
      <c r="O597" s="248">
        <v>89709.47</v>
      </c>
      <c r="P597" s="83">
        <v>525657.35</v>
      </c>
      <c r="R597" s="83">
        <v>484933.25</v>
      </c>
      <c r="T597" s="83">
        <v>5188.67</v>
      </c>
      <c r="V597" s="83">
        <v>781.99</v>
      </c>
      <c r="Z597" s="153">
        <f t="shared" ref="Z597:Z615" si="86">B597-C597-H597-J597-P597-R597-T597+V597</f>
        <v>5544514.6499999994</v>
      </c>
      <c r="AA597" s="92">
        <v>5544514.6500000004</v>
      </c>
      <c r="AB597" s="92">
        <f t="shared" ref="AB597:AB614" si="87">Z597-AA597</f>
        <v>0</v>
      </c>
    </row>
    <row r="598" spans="1:28" x14ac:dyDescent="0.2">
      <c r="A598" s="140">
        <v>39994</v>
      </c>
      <c r="B598" s="83">
        <v>8124128.5700000003</v>
      </c>
      <c r="C598" s="83">
        <v>0</v>
      </c>
      <c r="D598" s="83">
        <v>7481257.8799999999</v>
      </c>
      <c r="E598" s="141">
        <f t="shared" si="84"/>
        <v>15605386.449999999</v>
      </c>
      <c r="F598" s="83">
        <v>11476433.380000001</v>
      </c>
      <c r="G598" s="141">
        <f t="shared" si="85"/>
        <v>4128953.0699999984</v>
      </c>
      <c r="H598" s="83">
        <v>199818.29</v>
      </c>
      <c r="J598" s="91">
        <v>2273118.2200000002</v>
      </c>
      <c r="K598" s="83">
        <f>411103.46+501474.02+351514.49+24353.85</f>
        <v>1288445.82</v>
      </c>
      <c r="M598" s="84">
        <f>288161.3+324684+270779+35476</f>
        <v>919100.3</v>
      </c>
      <c r="O598" s="248">
        <v>65572.100000000006</v>
      </c>
      <c r="P598" s="83">
        <v>259311.33</v>
      </c>
      <c r="R598" s="83">
        <v>408898.07</v>
      </c>
      <c r="T598" s="83">
        <v>23524.45</v>
      </c>
      <c r="V598" s="83">
        <v>629.54</v>
      </c>
      <c r="Z598" s="153">
        <f t="shared" si="86"/>
        <v>4960087.75</v>
      </c>
      <c r="AA598" s="92">
        <v>4960087.75</v>
      </c>
      <c r="AB598" s="92">
        <f t="shared" si="87"/>
        <v>0</v>
      </c>
    </row>
    <row r="599" spans="1:28" x14ac:dyDescent="0.2">
      <c r="A599" s="140">
        <v>40086</v>
      </c>
      <c r="B599" s="83">
        <v>8167864.6200000001</v>
      </c>
      <c r="C599" s="83">
        <v>1391</v>
      </c>
      <c r="D599" s="83">
        <v>11476433.380000001</v>
      </c>
      <c r="E599" s="141">
        <f t="shared" si="84"/>
        <v>19642907</v>
      </c>
      <c r="F599" s="83">
        <v>13404189.699999999</v>
      </c>
      <c r="G599" s="141">
        <f t="shared" si="85"/>
        <v>6238717.3000000007</v>
      </c>
      <c r="H599" s="83">
        <v>591200.29</v>
      </c>
      <c r="J599" s="91">
        <v>2121859.56</v>
      </c>
      <c r="K599" s="83">
        <f>384966.68+447273.66+375218.71+78583.29</f>
        <v>1286042.3400000001</v>
      </c>
      <c r="M599" s="84">
        <f>208142.12+293243+210559+58301</f>
        <v>770245.12</v>
      </c>
      <c r="O599" s="248">
        <v>65572.100000000006</v>
      </c>
      <c r="P599" s="83">
        <v>236543.52</v>
      </c>
      <c r="R599" s="83">
        <v>389089.65</v>
      </c>
      <c r="T599" s="83">
        <v>61989.46</v>
      </c>
      <c r="V599" s="83">
        <v>182.5</v>
      </c>
      <c r="Z599" s="153">
        <f t="shared" si="86"/>
        <v>4765973.6399999997</v>
      </c>
      <c r="AA599" s="92">
        <v>4765973.6399999997</v>
      </c>
      <c r="AB599" s="92">
        <f t="shared" si="87"/>
        <v>0</v>
      </c>
    </row>
    <row r="600" spans="1:28" x14ac:dyDescent="0.2">
      <c r="A600" s="140">
        <v>40178</v>
      </c>
      <c r="B600" s="83">
        <v>9081507.5099999998</v>
      </c>
      <c r="C600" s="83">
        <v>2724.71</v>
      </c>
      <c r="D600" s="83">
        <v>13404189.699999999</v>
      </c>
      <c r="E600" s="141">
        <f t="shared" si="84"/>
        <v>22482972.5</v>
      </c>
      <c r="F600" s="83">
        <v>13957411.689999999</v>
      </c>
      <c r="G600" s="141">
        <f t="shared" si="85"/>
        <v>8525560.8100000005</v>
      </c>
      <c r="H600" s="83">
        <v>1196794.6299999999</v>
      </c>
      <c r="J600" s="91">
        <v>2473214.16</v>
      </c>
      <c r="K600" s="83">
        <v>1433806.27</v>
      </c>
      <c r="M600" s="84">
        <v>974543.26</v>
      </c>
      <c r="O600" s="248">
        <v>64864.63</v>
      </c>
      <c r="P600" s="83">
        <v>270415.21999999997</v>
      </c>
      <c r="R600" s="83">
        <v>406590.17</v>
      </c>
      <c r="T600" s="83">
        <v>134011.9</v>
      </c>
      <c r="V600" s="83">
        <v>1880.01</v>
      </c>
      <c r="Z600" s="153">
        <f t="shared" si="86"/>
        <v>4599636.7299999986</v>
      </c>
      <c r="AA600" s="92">
        <v>4599636.7300000004</v>
      </c>
      <c r="AB600" s="92">
        <f t="shared" si="87"/>
        <v>0</v>
      </c>
    </row>
    <row r="601" spans="1:28" x14ac:dyDescent="0.2">
      <c r="A601" s="140">
        <v>40268</v>
      </c>
      <c r="B601" s="83">
        <v>1694420.95</v>
      </c>
      <c r="C601" s="83">
        <v>72069.710000000006</v>
      </c>
      <c r="D601" s="83">
        <v>13957411.689999999</v>
      </c>
      <c r="E601" s="141">
        <f t="shared" si="84"/>
        <v>15579762.93</v>
      </c>
      <c r="F601" s="83">
        <v>8595363.8499999996</v>
      </c>
      <c r="G601" s="141">
        <f t="shared" si="85"/>
        <v>6984399.0800000001</v>
      </c>
      <c r="H601" s="83">
        <v>1863206.33</v>
      </c>
      <c r="J601" s="91">
        <v>295145.7</v>
      </c>
      <c r="K601" s="83">
        <v>295145.7</v>
      </c>
      <c r="M601" s="84">
        <v>0</v>
      </c>
      <c r="O601" s="248">
        <v>0</v>
      </c>
      <c r="P601" s="83">
        <v>-290449.93</v>
      </c>
      <c r="R601" s="83">
        <v>94312.35</v>
      </c>
      <c r="T601" s="83">
        <v>219531.1</v>
      </c>
      <c r="V601" s="83">
        <v>0</v>
      </c>
      <c r="Z601" s="153">
        <f t="shared" si="86"/>
        <v>-559394.31000000006</v>
      </c>
      <c r="AA601" s="92">
        <v>-559394.31000000006</v>
      </c>
      <c r="AB601" s="92">
        <f t="shared" si="87"/>
        <v>0</v>
      </c>
    </row>
    <row r="602" spans="1:28" x14ac:dyDescent="0.2">
      <c r="A602" s="140">
        <v>40359</v>
      </c>
      <c r="B602" s="83">
        <v>54767.93</v>
      </c>
      <c r="C602" s="83">
        <v>16278.93</v>
      </c>
      <c r="D602" s="83">
        <v>8595363.8499999996</v>
      </c>
      <c r="E602" s="141">
        <f t="shared" si="84"/>
        <v>8633852.8499999996</v>
      </c>
      <c r="F602" s="83">
        <v>3936038.36</v>
      </c>
      <c r="G602" s="141">
        <f t="shared" si="85"/>
        <v>4697814.49</v>
      </c>
      <c r="H602" s="83">
        <v>1713441.18</v>
      </c>
      <c r="J602" s="91">
        <v>-37733.75</v>
      </c>
      <c r="K602" s="83">
        <v>32606.6</v>
      </c>
      <c r="M602" s="84">
        <v>-70340.350000000006</v>
      </c>
      <c r="O602" s="248">
        <v>0</v>
      </c>
      <c r="P602" s="83">
        <v>45048.51</v>
      </c>
      <c r="R602" s="83">
        <v>155.59</v>
      </c>
      <c r="T602" s="83">
        <v>224507.65</v>
      </c>
      <c r="V602" s="83">
        <v>0</v>
      </c>
      <c r="Z602" s="153">
        <f t="shared" si="86"/>
        <v>-1906930.18</v>
      </c>
      <c r="AA602" s="92">
        <v>-1906930.18</v>
      </c>
      <c r="AB602" s="92">
        <f t="shared" si="87"/>
        <v>0</v>
      </c>
    </row>
    <row r="603" spans="1:28" x14ac:dyDescent="0.2">
      <c r="A603" s="140">
        <v>40451</v>
      </c>
      <c r="B603" s="83">
        <v>145247.91</v>
      </c>
      <c r="C603" s="83">
        <v>171981.91</v>
      </c>
      <c r="D603" s="83">
        <v>3936038.36</v>
      </c>
      <c r="E603" s="141">
        <f t="shared" si="84"/>
        <v>3909304.36</v>
      </c>
      <c r="F603" s="83">
        <v>995045.65</v>
      </c>
      <c r="G603" s="141">
        <f t="shared" si="85"/>
        <v>2914258.71</v>
      </c>
      <c r="H603" s="83">
        <v>1666540.57</v>
      </c>
      <c r="J603" s="91">
        <v>8585.51</v>
      </c>
      <c r="K603" s="83">
        <v>38655.74</v>
      </c>
      <c r="M603" s="84">
        <v>-30070.23</v>
      </c>
      <c r="O603" s="248">
        <v>0</v>
      </c>
      <c r="P603" s="83">
        <v>6040.88</v>
      </c>
      <c r="R603" s="83">
        <v>-16754.16</v>
      </c>
      <c r="T603" s="83">
        <v>285636.69</v>
      </c>
      <c r="V603" s="83">
        <v>0</v>
      </c>
      <c r="Z603" s="153">
        <f t="shared" si="86"/>
        <v>-1976783.49</v>
      </c>
      <c r="AA603" s="92">
        <v>-1976783.49</v>
      </c>
      <c r="AB603" s="92">
        <f t="shared" si="87"/>
        <v>0</v>
      </c>
    </row>
    <row r="604" spans="1:28" x14ac:dyDescent="0.2">
      <c r="A604" s="140">
        <v>40543</v>
      </c>
      <c r="B604" s="83">
        <v>423115.09</v>
      </c>
      <c r="C604" s="83">
        <v>164645.64000000001</v>
      </c>
      <c r="D604" s="83">
        <v>995045.65</v>
      </c>
      <c r="E604" s="141">
        <f t="shared" si="84"/>
        <v>1253515.1000000001</v>
      </c>
      <c r="F604" s="83">
        <v>0</v>
      </c>
      <c r="G604" s="141">
        <f t="shared" si="85"/>
        <v>1253515.1000000001</v>
      </c>
      <c r="H604" s="83">
        <v>1869360.9</v>
      </c>
      <c r="J604" s="91">
        <v>63381.64</v>
      </c>
      <c r="K604" s="83">
        <v>83321.8</v>
      </c>
      <c r="M604" s="84">
        <v>-20098.16</v>
      </c>
      <c r="O604" s="248">
        <v>0</v>
      </c>
      <c r="P604" s="83">
        <v>13175.76</v>
      </c>
      <c r="R604" s="83">
        <v>-13494.13</v>
      </c>
      <c r="T604" s="83">
        <v>206892.84</v>
      </c>
      <c r="V604" s="83">
        <v>0</v>
      </c>
      <c r="Z604" s="153">
        <f t="shared" si="86"/>
        <v>-1880847.56</v>
      </c>
      <c r="AA604" s="92">
        <v>-1880847.56</v>
      </c>
      <c r="AB604" s="92">
        <f t="shared" si="87"/>
        <v>0</v>
      </c>
    </row>
    <row r="605" spans="1:28" x14ac:dyDescent="0.2">
      <c r="A605" s="288">
        <v>40633</v>
      </c>
      <c r="B605" s="83">
        <v>237328.76</v>
      </c>
      <c r="C605" s="83">
        <v>157525.10999999999</v>
      </c>
      <c r="D605" s="83">
        <v>0</v>
      </c>
      <c r="E605" s="141">
        <f t="shared" si="84"/>
        <v>79803.650000000023</v>
      </c>
      <c r="F605" s="83">
        <v>0</v>
      </c>
      <c r="G605" s="141">
        <f t="shared" si="85"/>
        <v>79803.650000000023</v>
      </c>
      <c r="H605" s="83">
        <v>1301095.97</v>
      </c>
      <c r="J605" s="289">
        <v>56278.32</v>
      </c>
      <c r="K605" s="290">
        <v>61177.32</v>
      </c>
      <c r="L605" s="291"/>
      <c r="M605" s="291">
        <v>-4741</v>
      </c>
      <c r="O605" s="248"/>
      <c r="P605" s="83">
        <v>24.51</v>
      </c>
      <c r="R605" s="83">
        <v>9932.33</v>
      </c>
      <c r="T605" s="83">
        <v>196664.54</v>
      </c>
      <c r="V605" s="83">
        <v>0</v>
      </c>
      <c r="Z605" s="153">
        <f t="shared" si="86"/>
        <v>-1484192.02</v>
      </c>
      <c r="AA605" s="92">
        <v>-1484192.02</v>
      </c>
      <c r="AB605" s="92">
        <f t="shared" si="87"/>
        <v>0</v>
      </c>
    </row>
    <row r="606" spans="1:28" x14ac:dyDescent="0.2">
      <c r="A606" s="288">
        <v>40724</v>
      </c>
      <c r="B606" s="83">
        <v>-328091</v>
      </c>
      <c r="C606" s="83">
        <v>164401.35</v>
      </c>
      <c r="D606" s="83">
        <v>0</v>
      </c>
      <c r="E606" s="141">
        <f t="shared" si="84"/>
        <v>-492492.35</v>
      </c>
      <c r="F606" s="83">
        <v>0</v>
      </c>
      <c r="G606" s="141">
        <f t="shared" si="85"/>
        <v>-492492.35</v>
      </c>
      <c r="H606" s="83">
        <v>2078515.06</v>
      </c>
      <c r="J606" s="91">
        <v>-59932.2</v>
      </c>
      <c r="K606" s="311">
        <v>-56395.199999999997</v>
      </c>
      <c r="L606" s="248"/>
      <c r="M606" s="248">
        <v>-3537</v>
      </c>
      <c r="O606" s="248"/>
      <c r="P606" s="83">
        <v>21.44</v>
      </c>
      <c r="R606" s="83">
        <v>129.88999999999999</v>
      </c>
      <c r="T606" s="83">
        <v>168555.35</v>
      </c>
      <c r="V606" s="83">
        <v>0</v>
      </c>
      <c r="Z606" s="153">
        <f t="shared" si="86"/>
        <v>-2679781.89</v>
      </c>
      <c r="AA606" s="92">
        <v>-2679781.89</v>
      </c>
      <c r="AB606" s="92">
        <f t="shared" si="87"/>
        <v>0</v>
      </c>
    </row>
    <row r="607" spans="1:28" x14ac:dyDescent="0.2">
      <c r="A607" s="288">
        <v>40816</v>
      </c>
      <c r="B607" s="83">
        <v>31611.599999999999</v>
      </c>
      <c r="C607" s="83">
        <v>-41134.89</v>
      </c>
      <c r="D607" s="83">
        <v>0</v>
      </c>
      <c r="E607" s="141">
        <f t="shared" si="84"/>
        <v>72746.489999999991</v>
      </c>
      <c r="F607" s="83">
        <v>0</v>
      </c>
      <c r="G607" s="141">
        <f t="shared" si="85"/>
        <v>72746.489999999991</v>
      </c>
      <c r="H607" s="83">
        <v>1009963.34</v>
      </c>
      <c r="J607" s="91">
        <v>4198.33</v>
      </c>
      <c r="K607" s="311">
        <v>4903.33</v>
      </c>
      <c r="L607" s="248"/>
      <c r="M607" s="248">
        <v>-705</v>
      </c>
      <c r="O607" s="248"/>
      <c r="P607" s="83">
        <v>142.99</v>
      </c>
      <c r="R607" s="83">
        <v>6144.61</v>
      </c>
      <c r="T607" s="83">
        <v>90111.34</v>
      </c>
      <c r="V607" s="83">
        <v>0</v>
      </c>
      <c r="Z607" s="153">
        <f t="shared" si="86"/>
        <v>-1037814.1199999999</v>
      </c>
      <c r="AA607" s="92">
        <v>-1037814.12</v>
      </c>
      <c r="AB607" s="92">
        <f t="shared" si="87"/>
        <v>0</v>
      </c>
    </row>
    <row r="608" spans="1:28" x14ac:dyDescent="0.2">
      <c r="A608" s="288">
        <v>40908</v>
      </c>
      <c r="B608" s="83">
        <v>31405</v>
      </c>
      <c r="C608" s="83">
        <v>6043.45</v>
      </c>
      <c r="D608" s="83">
        <v>0</v>
      </c>
      <c r="E608" s="141">
        <f t="shared" si="84"/>
        <v>25361.55</v>
      </c>
      <c r="F608" s="83">
        <v>0</v>
      </c>
      <c r="G608" s="141">
        <f t="shared" si="85"/>
        <v>25361.55</v>
      </c>
      <c r="H608" s="83">
        <v>786131.03</v>
      </c>
      <c r="J608" s="91">
        <v>3791.06</v>
      </c>
      <c r="K608" s="311">
        <v>4254.0600000000004</v>
      </c>
      <c r="L608" s="248"/>
      <c r="M608" s="248">
        <v>-463</v>
      </c>
      <c r="O608" s="248">
        <v>0</v>
      </c>
      <c r="P608" s="83">
        <v>85.89</v>
      </c>
      <c r="R608" s="83">
        <v>-4172.1400000000003</v>
      </c>
      <c r="T608" s="83">
        <v>104720.95</v>
      </c>
      <c r="V608" s="83">
        <v>0</v>
      </c>
      <c r="Z608" s="153">
        <f t="shared" si="86"/>
        <v>-865195.24</v>
      </c>
      <c r="AA608" s="92">
        <v>-865195.24</v>
      </c>
      <c r="AB608" s="92">
        <f t="shared" si="87"/>
        <v>0</v>
      </c>
    </row>
    <row r="609" spans="1:28" x14ac:dyDescent="0.2">
      <c r="A609" s="288">
        <v>40999</v>
      </c>
      <c r="B609" s="83">
        <v>-5787</v>
      </c>
      <c r="C609" s="83">
        <v>-30329.18</v>
      </c>
      <c r="D609" s="83">
        <v>0</v>
      </c>
      <c r="E609" s="141">
        <f t="shared" si="84"/>
        <v>24542.18</v>
      </c>
      <c r="F609" s="83">
        <v>0</v>
      </c>
      <c r="G609" s="141">
        <f t="shared" si="85"/>
        <v>24542.18</v>
      </c>
      <c r="H609" s="83">
        <v>706262.85</v>
      </c>
      <c r="J609" s="91">
        <v>-1388.15</v>
      </c>
      <c r="K609" s="311">
        <v>-985.15</v>
      </c>
      <c r="L609" s="248"/>
      <c r="M609" s="248">
        <v>-403</v>
      </c>
      <c r="O609" s="248">
        <v>0</v>
      </c>
      <c r="P609" s="83">
        <v>0</v>
      </c>
      <c r="R609" s="83">
        <v>2263.91</v>
      </c>
      <c r="T609" s="83">
        <v>80672.19</v>
      </c>
      <c r="V609" s="83">
        <v>0</v>
      </c>
      <c r="Z609" s="153">
        <f t="shared" si="86"/>
        <v>-763268.61999999988</v>
      </c>
      <c r="AA609" s="92">
        <v>-763268.63</v>
      </c>
      <c r="AB609" s="92">
        <f t="shared" si="87"/>
        <v>1.0000000125728548E-2</v>
      </c>
    </row>
    <row r="610" spans="1:28" x14ac:dyDescent="0.2">
      <c r="A610" s="288">
        <v>41090</v>
      </c>
      <c r="B610" s="83">
        <v>2128</v>
      </c>
      <c r="C610" s="83">
        <v>-8234.2999999999993</v>
      </c>
      <c r="D610" s="83">
        <v>0</v>
      </c>
      <c r="E610" s="141">
        <f t="shared" si="84"/>
        <v>10362.299999999999</v>
      </c>
      <c r="F610" s="83">
        <v>0</v>
      </c>
      <c r="G610" s="141">
        <f t="shared" si="85"/>
        <v>10362.299999999999</v>
      </c>
      <c r="H610" s="83">
        <v>723360.79</v>
      </c>
      <c r="J610" s="91">
        <v>410.17</v>
      </c>
      <c r="K610" s="311">
        <v>354.17</v>
      </c>
      <c r="L610" s="248"/>
      <c r="M610" s="248">
        <v>56</v>
      </c>
      <c r="O610" s="248">
        <v>0</v>
      </c>
      <c r="P610" s="83">
        <v>0</v>
      </c>
      <c r="R610" s="83">
        <v>-62.89</v>
      </c>
      <c r="T610" s="83">
        <v>66156.820000000007</v>
      </c>
      <c r="V610" s="83">
        <v>0</v>
      </c>
      <c r="Z610" s="153">
        <f t="shared" si="86"/>
        <v>-779502.59000000008</v>
      </c>
      <c r="AA610" s="92">
        <v>-779502.59</v>
      </c>
      <c r="AB610" s="92">
        <f t="shared" si="87"/>
        <v>0</v>
      </c>
    </row>
    <row r="611" spans="1:28" x14ac:dyDescent="0.2">
      <c r="A611" s="288">
        <v>41182</v>
      </c>
      <c r="B611" s="83">
        <v>3363</v>
      </c>
      <c r="C611" s="83">
        <v>-5355.15</v>
      </c>
      <c r="D611" s="83">
        <v>0</v>
      </c>
      <c r="E611" s="141">
        <f t="shared" si="84"/>
        <v>8718.15</v>
      </c>
      <c r="F611" s="83">
        <v>0</v>
      </c>
      <c r="G611" s="141">
        <f t="shared" si="85"/>
        <v>8718.15</v>
      </c>
      <c r="H611" s="83">
        <v>691613.2</v>
      </c>
      <c r="J611" s="91">
        <v>537.54</v>
      </c>
      <c r="K611" s="311">
        <f>25.57+80.08+780.76-233.87</f>
        <v>652.54</v>
      </c>
      <c r="L611" s="248"/>
      <c r="M611" s="248">
        <f>64-179</f>
        <v>-115</v>
      </c>
      <c r="O611" s="248">
        <v>0</v>
      </c>
      <c r="P611" s="83">
        <v>0</v>
      </c>
      <c r="R611" s="83">
        <v>605.97</v>
      </c>
      <c r="T611" s="83">
        <v>45324.89</v>
      </c>
      <c r="V611" s="83">
        <v>0</v>
      </c>
      <c r="Z611" s="153">
        <f t="shared" si="86"/>
        <v>-729363.45</v>
      </c>
      <c r="AA611" s="92">
        <v>-729363.45</v>
      </c>
      <c r="AB611" s="92">
        <f t="shared" si="87"/>
        <v>0</v>
      </c>
    </row>
    <row r="612" spans="1:28" x14ac:dyDescent="0.2">
      <c r="A612" s="288">
        <v>41274</v>
      </c>
      <c r="B612" s="83">
        <v>-3936</v>
      </c>
      <c r="C612" s="83">
        <v>-8462.8799999999992</v>
      </c>
      <c r="D612" s="83">
        <v>0</v>
      </c>
      <c r="E612" s="141">
        <f t="shared" si="84"/>
        <v>4526.8799999999992</v>
      </c>
      <c r="F612" s="83">
        <v>0</v>
      </c>
      <c r="G612" s="141">
        <f t="shared" si="85"/>
        <v>4526.8799999999992</v>
      </c>
      <c r="H612" s="83">
        <v>422369.6</v>
      </c>
      <c r="J612" s="91">
        <v>-735.83</v>
      </c>
      <c r="K612" s="311">
        <v>-735.83</v>
      </c>
      <c r="L612" s="248"/>
      <c r="M612" s="248">
        <v>0</v>
      </c>
      <c r="O612" s="248">
        <v>0</v>
      </c>
      <c r="P612" s="83">
        <v>0</v>
      </c>
      <c r="R612" s="83">
        <v>-163.46</v>
      </c>
      <c r="T612" s="83">
        <v>46017.96</v>
      </c>
      <c r="V612" s="83">
        <v>0</v>
      </c>
      <c r="Z612" s="153">
        <f t="shared" si="86"/>
        <v>-462961.38999999996</v>
      </c>
      <c r="AA612" s="92">
        <v>-462961.39</v>
      </c>
      <c r="AB612" s="92">
        <f t="shared" si="87"/>
        <v>0</v>
      </c>
    </row>
    <row r="613" spans="1:28" x14ac:dyDescent="0.2">
      <c r="A613" s="288">
        <v>41364</v>
      </c>
      <c r="B613" s="83">
        <v>-1617</v>
      </c>
      <c r="C613" s="83">
        <v>-9715</v>
      </c>
      <c r="D613" s="83">
        <v>0</v>
      </c>
      <c r="E613" s="141">
        <f t="shared" si="84"/>
        <v>8098</v>
      </c>
      <c r="F613" s="83">
        <v>0</v>
      </c>
      <c r="G613" s="141">
        <f t="shared" si="85"/>
        <v>8098</v>
      </c>
      <c r="H613" s="83">
        <v>187498.66</v>
      </c>
      <c r="J613" s="91">
        <v>-889.66</v>
      </c>
      <c r="K613" s="311">
        <v>-102.66</v>
      </c>
      <c r="L613" s="248"/>
      <c r="M613" s="248">
        <v>-787</v>
      </c>
      <c r="O613" s="248">
        <v>0</v>
      </c>
      <c r="P613" s="83">
        <v>0</v>
      </c>
      <c r="R613" s="83">
        <v>-150.21</v>
      </c>
      <c r="T613" s="83">
        <v>24548.82</v>
      </c>
      <c r="V613" s="83">
        <v>0</v>
      </c>
      <c r="Z613" s="153">
        <f t="shared" si="86"/>
        <v>-202909.61000000002</v>
      </c>
      <c r="AA613" s="92">
        <v>-202909.61</v>
      </c>
      <c r="AB613" s="92">
        <f t="shared" si="87"/>
        <v>0</v>
      </c>
    </row>
    <row r="614" spans="1:28" x14ac:dyDescent="0.2">
      <c r="A614" s="288">
        <v>41455</v>
      </c>
      <c r="B614" s="83">
        <v>-10091</v>
      </c>
      <c r="C614" s="83">
        <v>-7824.12</v>
      </c>
      <c r="D614" s="83">
        <v>0</v>
      </c>
      <c r="E614" s="141">
        <f t="shared" si="84"/>
        <v>-2266.88</v>
      </c>
      <c r="F614" s="83">
        <v>0</v>
      </c>
      <c r="G614" s="141">
        <f t="shared" si="85"/>
        <v>-2266.88</v>
      </c>
      <c r="H614" s="83">
        <v>606610.81000000006</v>
      </c>
      <c r="J614" s="91">
        <v>-2347.1</v>
      </c>
      <c r="K614" s="311">
        <v>-1794.1</v>
      </c>
      <c r="L614" s="248"/>
      <c r="M614" s="248">
        <v>-553</v>
      </c>
      <c r="O614" s="248">
        <v>0</v>
      </c>
      <c r="P614" s="83">
        <v>0</v>
      </c>
      <c r="R614" s="83">
        <v>-326.18</v>
      </c>
      <c r="T614" s="83">
        <v>15761.82</v>
      </c>
      <c r="V614" s="83">
        <v>0</v>
      </c>
      <c r="Z614" s="153">
        <f t="shared" si="86"/>
        <v>-621966.23</v>
      </c>
      <c r="AA614" s="92">
        <v>-621966.23</v>
      </c>
      <c r="AB614" s="92">
        <f t="shared" si="87"/>
        <v>0</v>
      </c>
    </row>
    <row r="615" spans="1:28" x14ac:dyDescent="0.2">
      <c r="A615" s="288">
        <v>41547</v>
      </c>
      <c r="B615" s="83">
        <v>2045.7</v>
      </c>
      <c r="C615" s="83">
        <v>-16443.490000000002</v>
      </c>
      <c r="D615" s="83">
        <v>0</v>
      </c>
      <c r="E615" s="141">
        <f t="shared" si="84"/>
        <v>18489.190000000002</v>
      </c>
      <c r="F615" s="83">
        <v>0</v>
      </c>
      <c r="G615" s="141">
        <f t="shared" si="85"/>
        <v>18489.190000000002</v>
      </c>
      <c r="H615" s="141">
        <v>242018.46</v>
      </c>
      <c r="I615" s="141"/>
      <c r="J615" s="91">
        <v>-132.38999999999999</v>
      </c>
      <c r="K615" s="141">
        <v>-267.39</v>
      </c>
      <c r="L615" s="146"/>
      <c r="M615" s="146">
        <v>135</v>
      </c>
      <c r="N615" s="146"/>
      <c r="O615" s="146"/>
      <c r="P615" s="141">
        <v>0</v>
      </c>
      <c r="Q615" s="141"/>
      <c r="R615" s="141">
        <v>-9294.7900000000009</v>
      </c>
      <c r="S615" s="141"/>
      <c r="T615" s="141">
        <v>27516.6</v>
      </c>
      <c r="U615" s="141"/>
      <c r="V615" s="141">
        <v>0</v>
      </c>
      <c r="W615" s="141"/>
      <c r="X615" s="141"/>
      <c r="Y615" s="162"/>
      <c r="Z615" s="91">
        <f t="shared" si="86"/>
        <v>-241618.68999999997</v>
      </c>
      <c r="AA615" s="92">
        <v>-241618.69</v>
      </c>
      <c r="AB615" s="92">
        <f>Z615-AA615</f>
        <v>0</v>
      </c>
    </row>
    <row r="616" spans="1:28" x14ac:dyDescent="0.2">
      <c r="A616" s="135"/>
      <c r="B616" s="163">
        <f>SUM(B597:B615)</f>
        <v>36893584.000000007</v>
      </c>
      <c r="C616" s="163">
        <f t="shared" ref="C616:Z616" si="88">SUM(C597:C615)</f>
        <v>629562.79999999981</v>
      </c>
      <c r="D616" s="163">
        <f t="shared" si="88"/>
        <v>59845740.509999998</v>
      </c>
      <c r="E616" s="163">
        <f t="shared" si="88"/>
        <v>96109761.710000008</v>
      </c>
      <c r="F616" s="163">
        <f t="shared" si="88"/>
        <v>59845740.509999998</v>
      </c>
      <c r="G616" s="163">
        <f t="shared" si="88"/>
        <v>36264021.199999988</v>
      </c>
      <c r="H616" s="163">
        <f t="shared" si="88"/>
        <v>17893530.690000001</v>
      </c>
      <c r="I616" s="163">
        <f t="shared" si="88"/>
        <v>0</v>
      </c>
      <c r="J616" s="163">
        <f t="shared" si="88"/>
        <v>9844291.8300000001</v>
      </c>
      <c r="K616" s="163">
        <f t="shared" si="88"/>
        <v>5904686.1899999995</v>
      </c>
      <c r="L616" s="163">
        <f t="shared" si="88"/>
        <v>0</v>
      </c>
      <c r="M616" s="163">
        <f t="shared" si="88"/>
        <v>3653887.34</v>
      </c>
      <c r="N616" s="163">
        <f t="shared" si="88"/>
        <v>0</v>
      </c>
      <c r="O616" s="163">
        <f t="shared" si="88"/>
        <v>285718.3</v>
      </c>
      <c r="P616" s="163">
        <f t="shared" si="88"/>
        <v>1066017.4699999997</v>
      </c>
      <c r="Q616" s="163">
        <f t="shared" si="88"/>
        <v>0</v>
      </c>
      <c r="R616" s="163">
        <f t="shared" si="88"/>
        <v>1758637.8300000008</v>
      </c>
      <c r="S616" s="163">
        <f t="shared" si="88"/>
        <v>0</v>
      </c>
      <c r="T616" s="163">
        <f t="shared" si="88"/>
        <v>2027334.0400000003</v>
      </c>
      <c r="U616" s="163">
        <f t="shared" si="88"/>
        <v>0</v>
      </c>
      <c r="V616" s="163">
        <f t="shared" si="88"/>
        <v>3474.04</v>
      </c>
      <c r="W616" s="163">
        <f t="shared" si="88"/>
        <v>0</v>
      </c>
      <c r="X616" s="163">
        <f t="shared" si="88"/>
        <v>0</v>
      </c>
      <c r="Y616" s="163">
        <f t="shared" si="88"/>
        <v>0</v>
      </c>
      <c r="Z616" s="163">
        <f t="shared" si="88"/>
        <v>3677683.3799999962</v>
      </c>
    </row>
    <row r="617" spans="1:28" x14ac:dyDescent="0.2">
      <c r="Z617" s="153">
        <f>ROUND(B616-C616-H616-J616-P616-R616-T616+V616,2)</f>
        <v>3677683.38</v>
      </c>
    </row>
    <row r="618" spans="1:28" x14ac:dyDescent="0.2">
      <c r="A618" s="154" t="s">
        <v>223</v>
      </c>
      <c r="Z618" s="156" t="str">
        <f>IF(Z617=Z616,"Check","NO")</f>
        <v>Check</v>
      </c>
    </row>
    <row r="619" spans="1:28" ht="38.25" x14ac:dyDescent="0.2">
      <c r="A619" s="86" t="s">
        <v>143</v>
      </c>
      <c r="B619" s="87" t="s">
        <v>144</v>
      </c>
      <c r="C619" s="87" t="s">
        <v>145</v>
      </c>
      <c r="D619" s="87" t="s">
        <v>170</v>
      </c>
      <c r="E619" s="87" t="s">
        <v>171</v>
      </c>
      <c r="F619" s="87" t="s">
        <v>172</v>
      </c>
      <c r="G619" s="87" t="s">
        <v>146</v>
      </c>
      <c r="H619" s="87" t="s">
        <v>147</v>
      </c>
      <c r="I619" s="87" t="s">
        <v>148</v>
      </c>
      <c r="J619" s="87" t="s">
        <v>169</v>
      </c>
      <c r="K619" s="87" t="s">
        <v>136</v>
      </c>
      <c r="L619" s="87" t="s">
        <v>149</v>
      </c>
      <c r="M619" s="87" t="s">
        <v>163</v>
      </c>
      <c r="N619" s="87" t="s">
        <v>164</v>
      </c>
      <c r="O619" s="87" t="s">
        <v>207</v>
      </c>
      <c r="P619" s="87" t="s">
        <v>150</v>
      </c>
      <c r="Q619" s="87" t="s">
        <v>151</v>
      </c>
      <c r="R619" s="87" t="s">
        <v>152</v>
      </c>
      <c r="S619" s="87" t="s">
        <v>153</v>
      </c>
      <c r="T619" s="87" t="s">
        <v>154</v>
      </c>
      <c r="U619" s="87" t="s">
        <v>155</v>
      </c>
      <c r="V619" s="87" t="s">
        <v>156</v>
      </c>
      <c r="W619" s="87" t="s">
        <v>157</v>
      </c>
      <c r="X619" s="87" t="s">
        <v>165</v>
      </c>
      <c r="Y619" s="87" t="s">
        <v>166</v>
      </c>
      <c r="Z619" s="87" t="s">
        <v>158</v>
      </c>
      <c r="AA619" s="87" t="s">
        <v>173</v>
      </c>
      <c r="AB619" s="87" t="s">
        <v>175</v>
      </c>
    </row>
    <row r="620" spans="1:28" x14ac:dyDescent="0.2">
      <c r="A620" s="140">
        <v>40268</v>
      </c>
      <c r="B620" s="83">
        <v>7855753.2199999997</v>
      </c>
      <c r="C620" s="83">
        <v>0</v>
      </c>
      <c r="D620" s="83">
        <v>0</v>
      </c>
      <c r="E620" s="141">
        <f t="shared" ref="E620:E634" si="89">B620-C620+D620</f>
        <v>7855753.2199999997</v>
      </c>
      <c r="F620" s="83">
        <v>6440112.0999999996</v>
      </c>
      <c r="G620" s="141">
        <f t="shared" ref="G620:G634" si="90">E620-F620</f>
        <v>1415641.12</v>
      </c>
      <c r="H620" s="83">
        <v>28912.65</v>
      </c>
      <c r="J620" s="91">
        <v>2333206.7200000002</v>
      </c>
      <c r="K620" s="83">
        <v>1218189.78</v>
      </c>
      <c r="M620" s="84">
        <v>1035364.7</v>
      </c>
      <c r="O620" s="248">
        <v>79652.240000000005</v>
      </c>
      <c r="P620" s="83">
        <v>550487.11</v>
      </c>
      <c r="R620" s="83">
        <v>394232.93</v>
      </c>
      <c r="T620" s="83">
        <v>1875.69</v>
      </c>
      <c r="V620" s="83">
        <v>1264.53</v>
      </c>
      <c r="Z620" s="153">
        <f>B620-C620-H620-J620-P620-R620-T620+V620</f>
        <v>4548302.6499999994</v>
      </c>
      <c r="AA620" s="92">
        <v>4548302.6500000004</v>
      </c>
      <c r="AB620" s="92">
        <f>Z620-AA620</f>
        <v>0</v>
      </c>
    </row>
    <row r="621" spans="1:28" x14ac:dyDescent="0.2">
      <c r="A621" s="140">
        <v>40359</v>
      </c>
      <c r="B621" s="83">
        <v>7963592.5999999996</v>
      </c>
      <c r="C621" s="83">
        <v>0</v>
      </c>
      <c r="D621" s="83">
        <v>6440112.0999999996</v>
      </c>
      <c r="E621" s="141">
        <f t="shared" si="89"/>
        <v>14403704.699999999</v>
      </c>
      <c r="F621" s="83">
        <v>10790805.300000001</v>
      </c>
      <c r="G621" s="141">
        <f t="shared" si="90"/>
        <v>3612899.3999999985</v>
      </c>
      <c r="H621" s="83">
        <v>159118.69</v>
      </c>
      <c r="J621" s="91">
        <v>2299625.9300000002</v>
      </c>
      <c r="K621" s="83">
        <v>1269903</v>
      </c>
      <c r="M621" s="84">
        <v>972915.11</v>
      </c>
      <c r="O621" s="84">
        <v>56807.82</v>
      </c>
      <c r="P621" s="83">
        <v>328359.95</v>
      </c>
      <c r="R621" s="83">
        <v>399859.05</v>
      </c>
      <c r="T621" s="83">
        <v>16607.310000000001</v>
      </c>
      <c r="V621" s="83">
        <v>19.04</v>
      </c>
      <c r="Z621" s="153">
        <f>B621-C621-H621-J621-P621-R621-T621+V621</f>
        <v>4760040.709999999</v>
      </c>
      <c r="AA621" s="92">
        <v>4760040.71</v>
      </c>
      <c r="AB621" s="92">
        <f>Z621-AA621</f>
        <v>0</v>
      </c>
    </row>
    <row r="622" spans="1:28" x14ac:dyDescent="0.2">
      <c r="A622" s="140">
        <v>40451</v>
      </c>
      <c r="B622" s="83">
        <v>8142491.0899999999</v>
      </c>
      <c r="C622" s="83">
        <v>833</v>
      </c>
      <c r="D622" s="83">
        <v>10790805.300000001</v>
      </c>
      <c r="E622" s="141">
        <f t="shared" si="89"/>
        <v>18932463.390000001</v>
      </c>
      <c r="F622" s="83">
        <v>12871181.26</v>
      </c>
      <c r="G622" s="141">
        <f t="shared" si="90"/>
        <v>6061282.1300000008</v>
      </c>
      <c r="H622" s="83">
        <v>717652.43</v>
      </c>
      <c r="J622" s="91">
        <v>2075299.45</v>
      </c>
      <c r="K622" s="83">
        <v>1260332.75</v>
      </c>
      <c r="M622" s="84">
        <v>758158.88</v>
      </c>
      <c r="O622" s="84">
        <v>56807.82</v>
      </c>
      <c r="P622" s="83">
        <v>301148.24</v>
      </c>
      <c r="R622" s="83">
        <v>380401.62</v>
      </c>
      <c r="T622" s="83">
        <v>56809.04</v>
      </c>
      <c r="V622" s="83">
        <v>35.19</v>
      </c>
      <c r="Z622" s="153">
        <f t="shared" ref="Z622:Z634" si="91">B622-C622-H622-J622-P622-R622-T622+V622</f>
        <v>4610382.5</v>
      </c>
      <c r="AA622" s="92">
        <v>4610382.5</v>
      </c>
      <c r="AB622" s="92">
        <f>Z622-AA622</f>
        <v>0</v>
      </c>
    </row>
    <row r="623" spans="1:28" x14ac:dyDescent="0.2">
      <c r="A623" s="140">
        <v>40543</v>
      </c>
      <c r="B623" s="83">
        <v>7352858.4199999999</v>
      </c>
      <c r="C623" s="83">
        <v>29821.56</v>
      </c>
      <c r="D623" s="83">
        <v>12871181.26</v>
      </c>
      <c r="E623" s="141">
        <f t="shared" si="89"/>
        <v>20194218.120000001</v>
      </c>
      <c r="F623" s="83">
        <v>12420457.060000001</v>
      </c>
      <c r="G623" s="141">
        <f t="shared" si="90"/>
        <v>7773761.0600000005</v>
      </c>
      <c r="H623" s="83">
        <v>1136771.79</v>
      </c>
      <c r="J623" s="91">
        <v>2215039.09</v>
      </c>
      <c r="K623" s="83">
        <v>1158987.71</v>
      </c>
      <c r="M623" s="84">
        <v>794255.02</v>
      </c>
      <c r="O623" s="84">
        <v>261796.36</v>
      </c>
      <c r="P623" s="83">
        <v>309818.56</v>
      </c>
      <c r="R623" s="83">
        <v>331248.61</v>
      </c>
      <c r="T623" s="83">
        <v>141909.04</v>
      </c>
      <c r="V623" s="83">
        <v>1305.98</v>
      </c>
      <c r="Z623" s="153">
        <f t="shared" si="91"/>
        <v>3189555.7500000005</v>
      </c>
      <c r="AA623" s="92">
        <v>3189555.75</v>
      </c>
      <c r="AB623" s="92">
        <f t="shared" ref="AB623:AB629" si="92">Z623-AA623</f>
        <v>0</v>
      </c>
    </row>
    <row r="624" spans="1:28" x14ac:dyDescent="0.2">
      <c r="A624" s="288">
        <v>40633</v>
      </c>
      <c r="B624" s="83">
        <v>2226992.39</v>
      </c>
      <c r="C624" s="83">
        <v>13240.45</v>
      </c>
      <c r="D624" s="83">
        <f>F623</f>
        <v>12420457.060000001</v>
      </c>
      <c r="E624" s="141">
        <f t="shared" si="89"/>
        <v>14634209</v>
      </c>
      <c r="F624" s="83">
        <v>7567560.1699999999</v>
      </c>
      <c r="G624" s="141">
        <f t="shared" si="90"/>
        <v>7066648.8300000001</v>
      </c>
      <c r="H624" s="83">
        <v>1736835.61</v>
      </c>
      <c r="J624" s="91">
        <v>375044.98</v>
      </c>
      <c r="K624" s="83">
        <v>388365.68</v>
      </c>
      <c r="M624" s="84">
        <v>-13320.7</v>
      </c>
      <c r="O624" s="84">
        <v>0</v>
      </c>
      <c r="P624" s="83">
        <v>-321701.61</v>
      </c>
      <c r="R624" s="83">
        <v>91661.28</v>
      </c>
      <c r="T624" s="83">
        <v>187587.3</v>
      </c>
      <c r="V624" s="83">
        <v>0</v>
      </c>
      <c r="Z624" s="153">
        <f t="shared" si="91"/>
        <v>144324.37999999983</v>
      </c>
      <c r="AA624" s="92">
        <v>144324.38</v>
      </c>
      <c r="AB624" s="92">
        <f t="shared" si="92"/>
        <v>0</v>
      </c>
    </row>
    <row r="625" spans="1:28" x14ac:dyDescent="0.2">
      <c r="A625" s="288">
        <v>40724</v>
      </c>
      <c r="B625" s="83">
        <v>976218.68</v>
      </c>
      <c r="C625" s="83">
        <v>24517.78</v>
      </c>
      <c r="D625" s="83">
        <v>7567560.1699999999</v>
      </c>
      <c r="E625" s="141">
        <f t="shared" si="89"/>
        <v>8519261.0700000003</v>
      </c>
      <c r="F625" s="83">
        <v>3403678.67</v>
      </c>
      <c r="G625" s="141">
        <f t="shared" si="90"/>
        <v>5115582.4000000004</v>
      </c>
      <c r="H625" s="83">
        <v>1944070.97</v>
      </c>
      <c r="J625" s="91">
        <v>130823.11</v>
      </c>
      <c r="K625" s="83">
        <v>175368.32000000001</v>
      </c>
      <c r="M625" s="84">
        <v>-44545.21</v>
      </c>
      <c r="O625" s="84">
        <v>0</v>
      </c>
      <c r="P625" s="83">
        <v>25528.560000000001</v>
      </c>
      <c r="R625" s="83">
        <v>26629.56</v>
      </c>
      <c r="T625" s="83">
        <v>236462.51</v>
      </c>
      <c r="V625" s="83">
        <v>0</v>
      </c>
      <c r="Z625" s="153">
        <f t="shared" si="91"/>
        <v>-1411813.81</v>
      </c>
      <c r="AA625" s="92">
        <v>-1411813.81</v>
      </c>
      <c r="AB625" s="92">
        <f t="shared" si="92"/>
        <v>0</v>
      </c>
    </row>
    <row r="626" spans="1:28" x14ac:dyDescent="0.2">
      <c r="A626" s="288">
        <v>40816</v>
      </c>
      <c r="B626" s="83">
        <v>360035.05</v>
      </c>
      <c r="C626" s="83">
        <v>92920.2</v>
      </c>
      <c r="D626" s="83">
        <v>3403678.67</v>
      </c>
      <c r="E626" s="141">
        <f t="shared" si="89"/>
        <v>3670793.52</v>
      </c>
      <c r="F626" s="83">
        <v>968312.49</v>
      </c>
      <c r="G626" s="141">
        <f t="shared" si="90"/>
        <v>2702481.0300000003</v>
      </c>
      <c r="H626" s="83">
        <v>1762850.89</v>
      </c>
      <c r="J626" s="91">
        <v>35324.1</v>
      </c>
      <c r="K626" s="83">
        <v>71359.899999999994</v>
      </c>
      <c r="M626" s="84">
        <v>-36035.800000000003</v>
      </c>
      <c r="O626" s="84">
        <v>0</v>
      </c>
      <c r="P626" s="83">
        <v>13409.49</v>
      </c>
      <c r="R626" s="83">
        <v>12084.64</v>
      </c>
      <c r="T626" s="83">
        <v>297741.46999999997</v>
      </c>
      <c r="V626" s="83">
        <v>0</v>
      </c>
      <c r="Z626" s="153">
        <f t="shared" si="91"/>
        <v>-1854295.74</v>
      </c>
      <c r="AA626" s="92">
        <v>-1854295.74</v>
      </c>
      <c r="AB626" s="92">
        <f t="shared" si="92"/>
        <v>0</v>
      </c>
    </row>
    <row r="627" spans="1:28" x14ac:dyDescent="0.2">
      <c r="A627" s="288">
        <v>40908</v>
      </c>
      <c r="B627" s="83">
        <v>-11081.09</v>
      </c>
      <c r="C627" s="83">
        <v>145793.68</v>
      </c>
      <c r="D627" s="83">
        <v>968312.49</v>
      </c>
      <c r="E627" s="141">
        <f t="shared" si="89"/>
        <v>811437.72</v>
      </c>
      <c r="F627" s="83">
        <v>0</v>
      </c>
      <c r="G627" s="141">
        <f t="shared" si="90"/>
        <v>811437.72</v>
      </c>
      <c r="H627" s="83">
        <v>1692271.38</v>
      </c>
      <c r="J627" s="91">
        <v>56135.64</v>
      </c>
      <c r="K627" s="83">
        <v>14687.27</v>
      </c>
      <c r="M627" s="84">
        <v>-8584</v>
      </c>
      <c r="O627" s="84">
        <v>50032.37</v>
      </c>
      <c r="P627" s="83">
        <v>16766.900000000001</v>
      </c>
      <c r="R627" s="83">
        <v>-3298.63</v>
      </c>
      <c r="T627" s="83">
        <v>222113.28</v>
      </c>
      <c r="V627" s="83">
        <v>0</v>
      </c>
      <c r="Z627" s="153">
        <f t="shared" si="91"/>
        <v>-2140863.34</v>
      </c>
      <c r="AA627" s="92">
        <v>-2140863.34</v>
      </c>
      <c r="AB627" s="92">
        <f t="shared" si="92"/>
        <v>0</v>
      </c>
    </row>
    <row r="628" spans="1:28" x14ac:dyDescent="0.2">
      <c r="A628" s="288">
        <v>40999</v>
      </c>
      <c r="B628" s="83">
        <v>202807.19</v>
      </c>
      <c r="C628" s="83">
        <v>40634.32</v>
      </c>
      <c r="D628" s="83">
        <v>0</v>
      </c>
      <c r="E628" s="141">
        <f t="shared" si="89"/>
        <v>162172.87</v>
      </c>
      <c r="F628" s="83">
        <v>0</v>
      </c>
      <c r="G628" s="141">
        <f t="shared" si="90"/>
        <v>162172.87</v>
      </c>
      <c r="H628" s="83">
        <v>1663097.12</v>
      </c>
      <c r="J628" s="91">
        <v>51972.88</v>
      </c>
      <c r="K628" s="83">
        <v>53571.88</v>
      </c>
      <c r="M628" s="84">
        <v>-1599</v>
      </c>
      <c r="O628" s="84">
        <v>0</v>
      </c>
      <c r="P628" s="83">
        <v>0</v>
      </c>
      <c r="R628" s="83">
        <v>6760.57</v>
      </c>
      <c r="T628" s="83">
        <v>175344.84</v>
      </c>
      <c r="V628" s="83">
        <v>0</v>
      </c>
      <c r="Z628" s="153">
        <f t="shared" si="91"/>
        <v>-1735002.54</v>
      </c>
      <c r="AA628" s="92">
        <v>-1735002.54</v>
      </c>
      <c r="AB628" s="92">
        <f t="shared" si="92"/>
        <v>0</v>
      </c>
    </row>
    <row r="629" spans="1:28" x14ac:dyDescent="0.2">
      <c r="A629" s="288">
        <v>41090</v>
      </c>
      <c r="B629" s="83">
        <v>-84998</v>
      </c>
      <c r="C629" s="83">
        <v>125302.28</v>
      </c>
      <c r="D629" s="83">
        <v>0</v>
      </c>
      <c r="E629" s="141">
        <f t="shared" si="89"/>
        <v>-210300.28</v>
      </c>
      <c r="F629" s="83">
        <v>0</v>
      </c>
      <c r="G629" s="141">
        <f t="shared" si="90"/>
        <v>-210300.28</v>
      </c>
      <c r="H629" s="83">
        <v>1619681.63</v>
      </c>
      <c r="J629" s="91">
        <v>-8977.89</v>
      </c>
      <c r="K629" s="83">
        <v>-6680.89</v>
      </c>
      <c r="M629" s="84">
        <v>-2297</v>
      </c>
      <c r="O629" s="84">
        <v>0</v>
      </c>
      <c r="P629" s="83">
        <v>0</v>
      </c>
      <c r="R629" s="83">
        <v>-11973.39</v>
      </c>
      <c r="T629" s="83">
        <v>183931.07</v>
      </c>
      <c r="V629" s="83">
        <v>0</v>
      </c>
      <c r="Z629" s="153">
        <f t="shared" si="91"/>
        <v>-1992961.7000000002</v>
      </c>
      <c r="AA629" s="92">
        <v>-1992961.7</v>
      </c>
      <c r="AB629" s="92">
        <f t="shared" si="92"/>
        <v>0</v>
      </c>
    </row>
    <row r="630" spans="1:28" x14ac:dyDescent="0.2">
      <c r="A630" s="288">
        <v>41182</v>
      </c>
      <c r="B630" s="83">
        <v>-11344</v>
      </c>
      <c r="C630" s="83">
        <v>-19203.09</v>
      </c>
      <c r="D630" s="83">
        <v>0</v>
      </c>
      <c r="E630" s="141">
        <f t="shared" si="89"/>
        <v>7859.09</v>
      </c>
      <c r="F630" s="83">
        <v>0</v>
      </c>
      <c r="G630" s="141">
        <f t="shared" si="90"/>
        <v>7859.09</v>
      </c>
      <c r="H630" s="83">
        <v>1688357.96</v>
      </c>
      <c r="J630" s="91">
        <v>-2634.78</v>
      </c>
      <c r="K630" s="83">
        <f>-1795.61+702.17-617.96-141.38</f>
        <v>-1852.7800000000002</v>
      </c>
      <c r="M630" s="84">
        <f>-169-543+432-502</f>
        <v>-782</v>
      </c>
      <c r="O630" s="84">
        <v>0</v>
      </c>
      <c r="P630" s="83">
        <v>0</v>
      </c>
      <c r="R630" s="83">
        <v>-946.31</v>
      </c>
      <c r="T630" s="83">
        <v>106659.82</v>
      </c>
      <c r="V630" s="83">
        <v>0</v>
      </c>
      <c r="Z630" s="153">
        <f t="shared" si="91"/>
        <v>-1783577.5999999999</v>
      </c>
      <c r="AA630" s="92">
        <v>-1783577.6000000001</v>
      </c>
      <c r="AB630" s="92">
        <f>Z630-AA630</f>
        <v>0</v>
      </c>
    </row>
    <row r="631" spans="1:28" x14ac:dyDescent="0.2">
      <c r="A631" s="288">
        <v>41274</v>
      </c>
      <c r="B631" s="83">
        <v>-546</v>
      </c>
      <c r="C631" s="83">
        <v>-24657.01</v>
      </c>
      <c r="D631" s="83">
        <v>0</v>
      </c>
      <c r="E631" s="141">
        <f t="shared" si="89"/>
        <v>24111.01</v>
      </c>
      <c r="F631" s="83">
        <v>0</v>
      </c>
      <c r="G631" s="141">
        <f t="shared" si="90"/>
        <v>24111.01</v>
      </c>
      <c r="H631" s="83">
        <v>794441.92</v>
      </c>
      <c r="J631" s="91">
        <v>-763.63</v>
      </c>
      <c r="K631" s="83">
        <v>47.37</v>
      </c>
      <c r="M631" s="84">
        <v>-811</v>
      </c>
      <c r="O631" s="84">
        <v>0</v>
      </c>
      <c r="P631" s="83">
        <v>0</v>
      </c>
      <c r="R631" s="83">
        <v>546.79999999999995</v>
      </c>
      <c r="T631" s="83">
        <v>88685.96</v>
      </c>
      <c r="V631" s="83">
        <v>0</v>
      </c>
      <c r="Z631" s="153">
        <f t="shared" si="91"/>
        <v>-858800.04</v>
      </c>
      <c r="AA631" s="92">
        <v>-858800.04</v>
      </c>
      <c r="AB631" s="92">
        <f>Z631-AA631</f>
        <v>0</v>
      </c>
    </row>
    <row r="632" spans="1:28" x14ac:dyDescent="0.2">
      <c r="A632" s="288">
        <v>41364</v>
      </c>
      <c r="B632" s="83">
        <v>-20305</v>
      </c>
      <c r="C632" s="83">
        <v>-3724</v>
      </c>
      <c r="D632" s="83">
        <v>0</v>
      </c>
      <c r="E632" s="141">
        <f t="shared" si="89"/>
        <v>-16581</v>
      </c>
      <c r="F632" s="83">
        <v>0</v>
      </c>
      <c r="G632" s="141">
        <f t="shared" si="90"/>
        <v>-16581</v>
      </c>
      <c r="H632" s="83">
        <v>718651.16</v>
      </c>
      <c r="J632" s="91">
        <v>-4244.18</v>
      </c>
      <c r="K632" s="83">
        <v>-3713.18</v>
      </c>
      <c r="M632" s="84">
        <v>-531</v>
      </c>
      <c r="O632" s="84">
        <v>0</v>
      </c>
      <c r="P632" s="83">
        <v>0</v>
      </c>
      <c r="R632" s="83">
        <v>1753.52</v>
      </c>
      <c r="T632" s="83">
        <v>51083.77</v>
      </c>
      <c r="V632" s="83">
        <v>0</v>
      </c>
      <c r="Z632" s="153">
        <f t="shared" si="91"/>
        <v>-783825.27</v>
      </c>
      <c r="AA632" s="92">
        <v>-783825.27</v>
      </c>
      <c r="AB632" s="92">
        <f>Z632-AA632</f>
        <v>0</v>
      </c>
    </row>
    <row r="633" spans="1:28" x14ac:dyDescent="0.2">
      <c r="A633" s="288">
        <v>41455</v>
      </c>
      <c r="B633" s="83">
        <v>8248</v>
      </c>
      <c r="C633" s="83">
        <v>-7798.88</v>
      </c>
      <c r="D633" s="83">
        <v>0</v>
      </c>
      <c r="E633" s="141">
        <f t="shared" si="89"/>
        <v>16046.880000000001</v>
      </c>
      <c r="F633" s="83">
        <v>0</v>
      </c>
      <c r="G633" s="141">
        <f t="shared" si="90"/>
        <v>16046.880000000001</v>
      </c>
      <c r="H633" s="83">
        <v>761997.51</v>
      </c>
      <c r="J633" s="91">
        <v>1629.93</v>
      </c>
      <c r="K633" s="83">
        <v>1523.93</v>
      </c>
      <c r="M633" s="84">
        <v>106</v>
      </c>
      <c r="O633" s="84">
        <v>0</v>
      </c>
      <c r="P633" s="83">
        <v>0</v>
      </c>
      <c r="R633" s="83">
        <v>503.28</v>
      </c>
      <c r="T633" s="83">
        <v>75458.789999999994</v>
      </c>
      <c r="V633" s="83">
        <v>0</v>
      </c>
      <c r="Z633" s="153">
        <f t="shared" si="91"/>
        <v>-823542.63000000012</v>
      </c>
      <c r="AA633" s="92">
        <v>-823542.63</v>
      </c>
      <c r="AB633" s="92">
        <f>Z633-AA633</f>
        <v>0</v>
      </c>
    </row>
    <row r="634" spans="1:28" x14ac:dyDescent="0.2">
      <c r="A634" s="288">
        <v>41547</v>
      </c>
      <c r="B634" s="83">
        <v>2217.4499999999998</v>
      </c>
      <c r="C634" s="83">
        <v>-5154.6000000000004</v>
      </c>
      <c r="D634" s="83">
        <v>0</v>
      </c>
      <c r="E634" s="141">
        <f t="shared" si="89"/>
        <v>7372.05</v>
      </c>
      <c r="F634" s="83">
        <v>0</v>
      </c>
      <c r="G634" s="141">
        <f t="shared" si="90"/>
        <v>7372.05</v>
      </c>
      <c r="H634" s="83">
        <v>398856.07</v>
      </c>
      <c r="J634" s="91">
        <v>-120.25</v>
      </c>
      <c r="K634" s="83">
        <v>161.75</v>
      </c>
      <c r="M634" s="84">
        <v>-282</v>
      </c>
      <c r="P634" s="83">
        <v>0</v>
      </c>
      <c r="R634" s="83">
        <v>-1966.17</v>
      </c>
      <c r="T634" s="83">
        <v>86232.76</v>
      </c>
      <c r="V634" s="83">
        <v>0</v>
      </c>
      <c r="Z634" s="153">
        <f t="shared" si="91"/>
        <v>-475630.36000000004</v>
      </c>
      <c r="AA634" s="92">
        <v>-475630.36</v>
      </c>
      <c r="AB634" s="92">
        <f>Z634-AA634</f>
        <v>0</v>
      </c>
    </row>
    <row r="635" spans="1:28" x14ac:dyDescent="0.2">
      <c r="B635" s="163">
        <f>SUM(B620:B634)</f>
        <v>34962939.999999993</v>
      </c>
      <c r="C635" s="163">
        <f>SUM(C620:C634)</f>
        <v>412525.69</v>
      </c>
      <c r="D635" s="163">
        <f>D631</f>
        <v>0</v>
      </c>
      <c r="E635" s="163">
        <f>SUM(E620:E634)</f>
        <v>89012521.359999999</v>
      </c>
      <c r="F635" s="163">
        <f>F631</f>
        <v>0</v>
      </c>
      <c r="G635" s="163">
        <f>SUM(G620:G634)</f>
        <v>34550414.309999995</v>
      </c>
      <c r="H635" s="163">
        <f>SUM(H620:H634)</f>
        <v>16823567.780000001</v>
      </c>
      <c r="I635" s="163"/>
      <c r="J635" s="163">
        <f>SUM(J620:J634)</f>
        <v>9557361.1000000015</v>
      </c>
      <c r="K635" s="163">
        <f>SUM(K620:K634)</f>
        <v>5600252.4900000002</v>
      </c>
      <c r="L635" s="137">
        <f>K635/G635</f>
        <v>0.16208930057255805</v>
      </c>
      <c r="M635" s="163">
        <f>SUM(M620:M634)</f>
        <v>3452012</v>
      </c>
      <c r="N635" s="129">
        <f>M635/G635</f>
        <v>9.9912318533351918E-2</v>
      </c>
      <c r="O635" s="163">
        <f>SUM(O620:O633)</f>
        <v>505096.61</v>
      </c>
      <c r="P635" s="163">
        <f>SUM(P620:P634)</f>
        <v>1223817.2</v>
      </c>
      <c r="Q635" s="129">
        <f>P635/G635</f>
        <v>3.5421201870965355E-2</v>
      </c>
      <c r="R635" s="163">
        <f>SUM(R620:R634)</f>
        <v>1627497.3600000003</v>
      </c>
      <c r="S635" s="97">
        <f>R635/G635</f>
        <v>4.710500271856221E-2</v>
      </c>
      <c r="T635" s="163">
        <f>SUM(T620:T634)</f>
        <v>1928502.6500000001</v>
      </c>
      <c r="U635" s="129">
        <f>T635/G635</f>
        <v>5.5817062935822156E-2</v>
      </c>
      <c r="V635" s="163">
        <f>SUM(V620:V634)</f>
        <v>2624.74</v>
      </c>
      <c r="W635" s="97">
        <f>V635/G635</f>
        <v>7.5968408843083427E-5</v>
      </c>
      <c r="X635" s="163">
        <f t="shared" ref="X635:Y635" si="93">SUM(X620:X624)</f>
        <v>0</v>
      </c>
      <c r="Y635" s="163">
        <f t="shared" si="93"/>
        <v>0</v>
      </c>
      <c r="Z635" s="163">
        <f>SUM(Z620:Z634)</f>
        <v>3392292.9599999995</v>
      </c>
    </row>
    <row r="636" spans="1:28" x14ac:dyDescent="0.2">
      <c r="Z636" s="153">
        <f>ROUND(B635-C635-H635-J635-P635-R635-T635+V635,2)</f>
        <v>3392292.96</v>
      </c>
    </row>
    <row r="637" spans="1:28" x14ac:dyDescent="0.2">
      <c r="A637" s="154" t="s">
        <v>233</v>
      </c>
      <c r="Z637" s="156" t="str">
        <f>IF(Z636=Z635,"Check","NO")</f>
        <v>Check</v>
      </c>
    </row>
    <row r="638" spans="1:28" ht="38.25" x14ac:dyDescent="0.2">
      <c r="A638" s="86" t="s">
        <v>143</v>
      </c>
      <c r="B638" s="87" t="s">
        <v>144</v>
      </c>
      <c r="C638" s="87" t="s">
        <v>145</v>
      </c>
      <c r="D638" s="87" t="s">
        <v>170</v>
      </c>
      <c r="E638" s="87" t="s">
        <v>171</v>
      </c>
      <c r="F638" s="87" t="s">
        <v>172</v>
      </c>
      <c r="G638" s="87" t="s">
        <v>146</v>
      </c>
      <c r="H638" s="87" t="s">
        <v>147</v>
      </c>
      <c r="I638" s="87" t="s">
        <v>148</v>
      </c>
      <c r="J638" s="87" t="s">
        <v>169</v>
      </c>
      <c r="K638" s="87" t="s">
        <v>136</v>
      </c>
      <c r="L638" s="87" t="s">
        <v>149</v>
      </c>
      <c r="M638" s="87" t="s">
        <v>163</v>
      </c>
      <c r="N638" s="87" t="s">
        <v>164</v>
      </c>
      <c r="O638" s="87" t="s">
        <v>207</v>
      </c>
      <c r="P638" s="87" t="s">
        <v>150</v>
      </c>
      <c r="Q638" s="87" t="s">
        <v>151</v>
      </c>
      <c r="R638" s="87" t="s">
        <v>152</v>
      </c>
      <c r="S638" s="87" t="s">
        <v>153</v>
      </c>
      <c r="T638" s="87" t="s">
        <v>154</v>
      </c>
      <c r="U638" s="87" t="s">
        <v>155</v>
      </c>
      <c r="V638" s="87" t="s">
        <v>156</v>
      </c>
      <c r="W638" s="87" t="s">
        <v>157</v>
      </c>
      <c r="X638" s="87" t="s">
        <v>165</v>
      </c>
      <c r="Y638" s="87" t="s">
        <v>166</v>
      </c>
      <c r="Z638" s="87" t="s">
        <v>158</v>
      </c>
      <c r="AA638" s="87" t="s">
        <v>173</v>
      </c>
      <c r="AB638" s="87" t="s">
        <v>175</v>
      </c>
    </row>
    <row r="639" spans="1:28" x14ac:dyDescent="0.2">
      <c r="A639" s="288">
        <v>40633</v>
      </c>
      <c r="B639" s="83">
        <v>6274468.4699999997</v>
      </c>
      <c r="C639" s="83">
        <v>0</v>
      </c>
      <c r="D639" s="83">
        <v>0</v>
      </c>
      <c r="E639" s="141">
        <f t="shared" ref="E639:E649" si="94">B639-C639+D639</f>
        <v>6274468.4699999997</v>
      </c>
      <c r="F639" s="83">
        <v>5092671.2699999996</v>
      </c>
      <c r="G639" s="141">
        <f t="shared" ref="G639:G649" si="95">E639-F639</f>
        <v>1181797.2000000002</v>
      </c>
      <c r="H639" s="83">
        <v>54045.46</v>
      </c>
      <c r="J639" s="91">
        <v>1834495.17</v>
      </c>
      <c r="K639" s="83">
        <v>965638.66</v>
      </c>
      <c r="M639" s="84">
        <v>797453.05</v>
      </c>
      <c r="O639" s="84">
        <v>71403.460000000006</v>
      </c>
      <c r="P639" s="83">
        <v>673470.84</v>
      </c>
      <c r="R639" s="83">
        <v>316978.09999999998</v>
      </c>
      <c r="T639" s="83">
        <v>2951.39</v>
      </c>
      <c r="V639" s="83">
        <v>18.88</v>
      </c>
      <c r="Z639" s="153">
        <f t="shared" ref="Z639:Z649" si="96">B639-C639-H639-J639-P639-R639-T639+V639</f>
        <v>3392546.3899999997</v>
      </c>
      <c r="AA639" s="92">
        <v>3392546.39</v>
      </c>
      <c r="AB639" s="92">
        <f t="shared" ref="AB639" si="97">Z639-AA639</f>
        <v>0</v>
      </c>
    </row>
    <row r="640" spans="1:28" x14ac:dyDescent="0.2">
      <c r="A640" s="288">
        <v>40724</v>
      </c>
      <c r="B640" s="83">
        <v>7391857.8899999997</v>
      </c>
      <c r="C640" s="83">
        <v>0</v>
      </c>
      <c r="D640" s="83">
        <v>5092671.2699999996</v>
      </c>
      <c r="E640" s="141">
        <f t="shared" si="94"/>
        <v>12484529.16</v>
      </c>
      <c r="F640" s="83">
        <v>9313889.6500000004</v>
      </c>
      <c r="G640" s="141">
        <f t="shared" si="95"/>
        <v>3170639.51</v>
      </c>
      <c r="H640" s="83">
        <v>254028.38</v>
      </c>
      <c r="J640" s="91">
        <v>2026519.4</v>
      </c>
      <c r="K640" s="83">
        <v>1163786.5</v>
      </c>
      <c r="M640" s="84">
        <v>811308.05</v>
      </c>
      <c r="O640" s="84">
        <v>51424.85</v>
      </c>
      <c r="P640" s="83">
        <v>347259.62</v>
      </c>
      <c r="R640" s="83">
        <v>338403.31</v>
      </c>
      <c r="T640" s="83">
        <v>13208.78</v>
      </c>
      <c r="V640" s="83">
        <v>106.08</v>
      </c>
      <c r="Z640" s="153">
        <f t="shared" si="96"/>
        <v>4412544.4799999995</v>
      </c>
      <c r="AA640" s="92">
        <v>4412544.4800000004</v>
      </c>
      <c r="AB640" s="92">
        <f t="shared" ref="AB640:AB649" si="98">Z640-AA640</f>
        <v>0</v>
      </c>
    </row>
    <row r="641" spans="1:29" x14ac:dyDescent="0.2">
      <c r="A641" s="288">
        <v>40816</v>
      </c>
      <c r="B641" s="83">
        <v>10165484.210000001</v>
      </c>
      <c r="C641" s="83">
        <v>6465.38</v>
      </c>
      <c r="D641" s="83">
        <v>9313889.6500000004</v>
      </c>
      <c r="E641" s="141">
        <f t="shared" si="94"/>
        <v>19472908.48</v>
      </c>
      <c r="F641" s="83">
        <v>13351749.51</v>
      </c>
      <c r="G641" s="141">
        <f t="shared" si="95"/>
        <v>6121158.9700000007</v>
      </c>
      <c r="H641" s="83">
        <v>519830.73</v>
      </c>
      <c r="J641" s="91">
        <v>2463461.64</v>
      </c>
      <c r="K641" s="83">
        <v>1584487.93</v>
      </c>
      <c r="M641" s="84">
        <v>827548.86</v>
      </c>
      <c r="O641" s="84">
        <v>51424.85</v>
      </c>
      <c r="P641" s="83">
        <v>401563.63</v>
      </c>
      <c r="R641" s="83">
        <v>425941.61</v>
      </c>
      <c r="T641" s="83">
        <v>59369.41</v>
      </c>
      <c r="V641" s="83">
        <v>11.2</v>
      </c>
      <c r="Z641" s="153">
        <f t="shared" si="96"/>
        <v>6288863.0099999988</v>
      </c>
      <c r="AA641" s="92">
        <v>6288863.0099999998</v>
      </c>
      <c r="AB641" s="92">
        <f t="shared" si="98"/>
        <v>0</v>
      </c>
    </row>
    <row r="642" spans="1:29" x14ac:dyDescent="0.2">
      <c r="A642" s="288">
        <v>40908</v>
      </c>
      <c r="B642" s="83">
        <v>14411826.84</v>
      </c>
      <c r="C642" s="83">
        <v>656.54</v>
      </c>
      <c r="D642" s="83">
        <v>13351749.51</v>
      </c>
      <c r="E642" s="141">
        <f t="shared" si="94"/>
        <v>27762919.810000002</v>
      </c>
      <c r="F642" s="83">
        <v>18066871.030000001</v>
      </c>
      <c r="G642" s="141">
        <f t="shared" si="95"/>
        <v>9696048.7800000012</v>
      </c>
      <c r="H642" s="83">
        <v>1036188.64</v>
      </c>
      <c r="J642" s="91">
        <v>3388513.46</v>
      </c>
      <c r="K642" s="83">
        <v>2227644.9900000002</v>
      </c>
      <c r="M642" s="84">
        <v>1108249.05</v>
      </c>
      <c r="O642" s="84">
        <v>52619.42</v>
      </c>
      <c r="P642" s="83">
        <v>440130.25</v>
      </c>
      <c r="R642" s="83">
        <v>606367.67000000004</v>
      </c>
      <c r="T642" s="83">
        <v>117507.51</v>
      </c>
      <c r="V642" s="83">
        <v>0</v>
      </c>
      <c r="Z642" s="153">
        <f t="shared" si="96"/>
        <v>8822462.7699999996</v>
      </c>
      <c r="AA642" s="92">
        <v>8822462.7699999996</v>
      </c>
      <c r="AB642" s="92">
        <f t="shared" si="98"/>
        <v>0</v>
      </c>
    </row>
    <row r="643" spans="1:29" x14ac:dyDescent="0.2">
      <c r="A643" s="288">
        <v>40999</v>
      </c>
      <c r="B643" s="83">
        <v>4464776.25</v>
      </c>
      <c r="C643" s="83">
        <v>13354.64</v>
      </c>
      <c r="D643" s="83">
        <v>18066781.030000001</v>
      </c>
      <c r="E643" s="141">
        <f t="shared" si="94"/>
        <v>22518202.640000001</v>
      </c>
      <c r="F643" s="83">
        <v>12330757.630000001</v>
      </c>
      <c r="G643" s="141">
        <f t="shared" si="95"/>
        <v>10187445.01</v>
      </c>
      <c r="H643" s="83">
        <v>1858425.86</v>
      </c>
      <c r="J643" s="91">
        <v>871178.7</v>
      </c>
      <c r="K643" s="83">
        <v>764846.12</v>
      </c>
      <c r="M643" s="84">
        <v>106332.58</v>
      </c>
      <c r="O643" s="84">
        <v>0</v>
      </c>
      <c r="P643" s="83">
        <v>-383965.62</v>
      </c>
      <c r="R643" s="83">
        <v>193122.32</v>
      </c>
      <c r="T643" s="83">
        <v>210810.83</v>
      </c>
      <c r="V643" s="83">
        <v>0</v>
      </c>
      <c r="Z643" s="153">
        <f t="shared" si="96"/>
        <v>1701849.5199999998</v>
      </c>
      <c r="AA643" s="92">
        <v>1701849.52</v>
      </c>
      <c r="AB643" s="92">
        <f t="shared" si="98"/>
        <v>0</v>
      </c>
    </row>
    <row r="644" spans="1:29" x14ac:dyDescent="0.2">
      <c r="A644" s="288">
        <v>41090</v>
      </c>
      <c r="B644" s="83">
        <v>2441623.2999999998</v>
      </c>
      <c r="C644" s="83">
        <v>36425.08</v>
      </c>
      <c r="D644" s="83">
        <v>12330757.630000001</v>
      </c>
      <c r="E644" s="141">
        <f t="shared" si="94"/>
        <v>14735955.850000001</v>
      </c>
      <c r="F644" s="83">
        <v>6369321.4100000001</v>
      </c>
      <c r="G644" s="141">
        <f t="shared" si="95"/>
        <v>8366634.4400000013</v>
      </c>
      <c r="H644" s="83">
        <v>2317482.6800000002</v>
      </c>
      <c r="J644" s="91">
        <v>398098.75</v>
      </c>
      <c r="K644" s="83">
        <v>440557.53</v>
      </c>
      <c r="M644" s="84">
        <v>-42458.78</v>
      </c>
      <c r="O644" s="84">
        <v>0</v>
      </c>
      <c r="P644" s="83">
        <v>76701.3</v>
      </c>
      <c r="R644" s="83">
        <v>92225.48</v>
      </c>
      <c r="T644" s="83">
        <v>289868.03999999998</v>
      </c>
      <c r="V644" s="83">
        <v>0</v>
      </c>
      <c r="Z644" s="153">
        <f t="shared" si="96"/>
        <v>-769178.03000000038</v>
      </c>
      <c r="AA644" s="92">
        <v>-769178.03</v>
      </c>
      <c r="AB644" s="92">
        <f t="shared" si="98"/>
        <v>0</v>
      </c>
    </row>
    <row r="645" spans="1:29" x14ac:dyDescent="0.2">
      <c r="A645" s="288">
        <v>41182</v>
      </c>
      <c r="B645" s="83">
        <v>977507.94</v>
      </c>
      <c r="C645" s="83">
        <v>36390.61</v>
      </c>
      <c r="D645" s="83">
        <v>6369321.4100000001</v>
      </c>
      <c r="E645" s="141">
        <f t="shared" si="94"/>
        <v>7310438.7400000002</v>
      </c>
      <c r="F645" s="83">
        <v>1765322.23</v>
      </c>
      <c r="G645" s="141">
        <f t="shared" si="95"/>
        <v>5545116.5099999998</v>
      </c>
      <c r="H645" s="83">
        <v>2727720.51</v>
      </c>
      <c r="J645" s="91">
        <v>184673.64</v>
      </c>
      <c r="K645" s="83">
        <v>207659.46</v>
      </c>
      <c r="M645" s="84">
        <v>-22985.82</v>
      </c>
      <c r="O645" s="84">
        <v>0</v>
      </c>
      <c r="P645" s="83">
        <v>8779.01</v>
      </c>
      <c r="R645" s="83">
        <v>38111.040000000001</v>
      </c>
      <c r="T645" s="83">
        <v>382505.02</v>
      </c>
      <c r="V645" s="83">
        <v>0</v>
      </c>
      <c r="Z645" s="153">
        <f t="shared" si="96"/>
        <v>-2400671.8899999997</v>
      </c>
      <c r="AA645" s="92">
        <v>-2400671.89</v>
      </c>
      <c r="AB645" s="92">
        <f t="shared" si="98"/>
        <v>0</v>
      </c>
    </row>
    <row r="646" spans="1:29" x14ac:dyDescent="0.2">
      <c r="A646" s="288">
        <v>41274</v>
      </c>
      <c r="B646" s="83">
        <v>427210.1</v>
      </c>
      <c r="C646" s="83">
        <v>108031.91</v>
      </c>
      <c r="D646" s="83">
        <v>1765322.23</v>
      </c>
      <c r="E646" s="141">
        <f t="shared" si="94"/>
        <v>2084500.42</v>
      </c>
      <c r="F646" s="83">
        <v>0</v>
      </c>
      <c r="G646" s="141">
        <f t="shared" si="95"/>
        <v>2084500.42</v>
      </c>
      <c r="H646" s="83">
        <v>2056582.57</v>
      </c>
      <c r="J646" s="91">
        <v>85916.05</v>
      </c>
      <c r="K646" s="83">
        <v>98100.05</v>
      </c>
      <c r="M646" s="84">
        <v>-12184</v>
      </c>
      <c r="O646" s="84">
        <v>0</v>
      </c>
      <c r="P646" s="83">
        <v>12596.87</v>
      </c>
      <c r="R646" s="83">
        <v>11582.86</v>
      </c>
      <c r="T646" s="83">
        <v>379075.28</v>
      </c>
      <c r="V646" s="83">
        <v>0</v>
      </c>
      <c r="Z646" s="153">
        <f t="shared" si="96"/>
        <v>-2226575.4400000004</v>
      </c>
      <c r="AA646" s="92">
        <v>-2226575.44</v>
      </c>
      <c r="AB646" s="92">
        <f t="shared" si="98"/>
        <v>0</v>
      </c>
    </row>
    <row r="647" spans="1:29" x14ac:dyDescent="0.2">
      <c r="A647" s="288">
        <v>41364</v>
      </c>
      <c r="B647" s="83">
        <v>415037</v>
      </c>
      <c r="C647" s="83">
        <v>168584.95999999999</v>
      </c>
      <c r="D647" s="83">
        <v>0</v>
      </c>
      <c r="E647" s="141">
        <f t="shared" si="94"/>
        <v>246452.04</v>
      </c>
      <c r="F647" s="83">
        <v>0</v>
      </c>
      <c r="G647" s="141">
        <f t="shared" si="95"/>
        <v>246452.04</v>
      </c>
      <c r="H647" s="83">
        <v>2107595.56</v>
      </c>
      <c r="J647" s="91">
        <v>97024.61</v>
      </c>
      <c r="K647" s="83">
        <v>99741.61</v>
      </c>
      <c r="M647" s="84">
        <v>-2717</v>
      </c>
      <c r="O647" s="84">
        <v>0</v>
      </c>
      <c r="P647" s="83">
        <v>0</v>
      </c>
      <c r="R647" s="83">
        <v>13832.44</v>
      </c>
      <c r="T647" s="83">
        <v>286279.59999999998</v>
      </c>
      <c r="V647" s="83">
        <v>0</v>
      </c>
      <c r="Z647" s="153">
        <f t="shared" si="96"/>
        <v>-2258280.17</v>
      </c>
      <c r="AA647" s="92">
        <v>-2258280.17</v>
      </c>
      <c r="AB647" s="92">
        <f t="shared" si="98"/>
        <v>0</v>
      </c>
    </row>
    <row r="648" spans="1:29" x14ac:dyDescent="0.2">
      <c r="A648" s="288">
        <v>41455</v>
      </c>
      <c r="B648" s="83">
        <v>-84636</v>
      </c>
      <c r="C648" s="83">
        <v>123927.52</v>
      </c>
      <c r="D648" s="83">
        <v>0</v>
      </c>
      <c r="E648" s="141">
        <f t="shared" si="94"/>
        <v>-208563.52000000002</v>
      </c>
      <c r="F648" s="83">
        <v>0</v>
      </c>
      <c r="G648" s="141">
        <f t="shared" si="95"/>
        <v>-208563.52000000002</v>
      </c>
      <c r="H648" s="83">
        <v>2043111.01</v>
      </c>
      <c r="J648" s="91">
        <v>-16914.03</v>
      </c>
      <c r="K648" s="83">
        <v>-13208.03</v>
      </c>
      <c r="M648" s="84">
        <v>-3706</v>
      </c>
      <c r="O648" s="84">
        <v>0</v>
      </c>
      <c r="P648" s="83">
        <v>0</v>
      </c>
      <c r="R648" s="83">
        <v>5035.3</v>
      </c>
      <c r="T648" s="83">
        <v>283942.8</v>
      </c>
      <c r="V648" s="83">
        <v>0</v>
      </c>
      <c r="Z648" s="153">
        <f t="shared" si="96"/>
        <v>-2523738.6</v>
      </c>
      <c r="AA648" s="92">
        <v>-2523738.6</v>
      </c>
      <c r="AB648" s="92">
        <f t="shared" si="98"/>
        <v>0</v>
      </c>
    </row>
    <row r="649" spans="1:29" x14ac:dyDescent="0.2">
      <c r="A649" s="288">
        <v>41547</v>
      </c>
      <c r="B649" s="83">
        <v>-26523</v>
      </c>
      <c r="C649" s="83">
        <v>5805.26</v>
      </c>
      <c r="D649" s="83">
        <v>0</v>
      </c>
      <c r="E649" s="141">
        <f t="shared" si="94"/>
        <v>-32328.260000000002</v>
      </c>
      <c r="F649" s="83">
        <v>0</v>
      </c>
      <c r="G649" s="141">
        <f t="shared" si="95"/>
        <v>-32328.260000000002</v>
      </c>
      <c r="H649" s="83">
        <v>1573839.77</v>
      </c>
      <c r="J649" s="91">
        <v>-3331.69</v>
      </c>
      <c r="K649" s="83">
        <v>-1781.69</v>
      </c>
      <c r="M649" s="84">
        <v>-1550</v>
      </c>
      <c r="O649" s="84">
        <v>0</v>
      </c>
      <c r="P649" s="83">
        <v>0</v>
      </c>
      <c r="R649" s="83">
        <v>-18731.91</v>
      </c>
      <c r="T649" s="83">
        <v>199930.77</v>
      </c>
      <c r="V649" s="83">
        <v>0</v>
      </c>
      <c r="Z649" s="153">
        <f t="shared" si="96"/>
        <v>-1784035.2000000002</v>
      </c>
      <c r="AA649" s="92">
        <v>-1784035.2</v>
      </c>
      <c r="AB649" s="92">
        <f t="shared" si="98"/>
        <v>0</v>
      </c>
    </row>
    <row r="650" spans="1:29" x14ac:dyDescent="0.2">
      <c r="B650" s="163">
        <f>SUM(B639:B649)</f>
        <v>46858632.999999993</v>
      </c>
      <c r="C650" s="163">
        <f>SUM(C639:C649)</f>
        <v>499641.9</v>
      </c>
      <c r="D650" s="163">
        <f>D648</f>
        <v>0</v>
      </c>
      <c r="E650" s="163">
        <f>SUM(E639:E649)</f>
        <v>112649483.83</v>
      </c>
      <c r="F650" s="163">
        <f>F646</f>
        <v>0</v>
      </c>
      <c r="G650" s="163">
        <f>SUM(G639:G649)</f>
        <v>46358901.099999994</v>
      </c>
      <c r="H650" s="163">
        <f>SUM(H639:H649)</f>
        <v>16548851.17</v>
      </c>
      <c r="I650" s="163"/>
      <c r="J650" s="163">
        <f>SUM(J639:J649)</f>
        <v>11329635.700000001</v>
      </c>
      <c r="K650" s="163">
        <f>SUM(K639:K649)</f>
        <v>7537473.1299999999</v>
      </c>
      <c r="L650" s="137">
        <f>K650/G650</f>
        <v>0.16258955564414793</v>
      </c>
      <c r="M650" s="163">
        <f>SUM(M639:M649)</f>
        <v>3565289.99</v>
      </c>
      <c r="N650" s="129">
        <f>M650/G650</f>
        <v>7.6906266227263972E-2</v>
      </c>
      <c r="O650" s="163">
        <f>SUM(O639:O649)</f>
        <v>226872.58000000002</v>
      </c>
      <c r="P650" s="163">
        <f>SUM(P639:P649)</f>
        <v>1576535.9</v>
      </c>
      <c r="Q650" s="129">
        <f>P650/G650</f>
        <v>3.4007188751072448E-2</v>
      </c>
      <c r="R650" s="163">
        <f>SUM(R639:R649)</f>
        <v>2022868.2200000002</v>
      </c>
      <c r="S650" s="97">
        <f>R650/G650</f>
        <v>4.3634947593699548E-2</v>
      </c>
      <c r="T650" s="163">
        <f>SUM(T639:T649)</f>
        <v>2225449.4299999997</v>
      </c>
      <c r="U650" s="129">
        <f>T650/G650</f>
        <v>4.8004792546732733E-2</v>
      </c>
      <c r="V650" s="163">
        <f>SUM(V639:V649)</f>
        <v>136.16</v>
      </c>
      <c r="W650" s="97">
        <f>V650/G650</f>
        <v>2.9370842873581404E-6</v>
      </c>
      <c r="X650" s="163">
        <f t="shared" ref="X650" si="99">SUM(X639:X642)</f>
        <v>0</v>
      </c>
      <c r="Y650" s="163">
        <f t="shared" ref="Y650" si="100">SUM(Y639:Y642)</f>
        <v>0</v>
      </c>
      <c r="Z650" s="163">
        <f>SUM(Z639:Z649)</f>
        <v>12655786.839999992</v>
      </c>
    </row>
    <row r="651" spans="1:29" x14ac:dyDescent="0.2">
      <c r="Z651" s="153">
        <f>B650-C650-H650-J650-P650-R650-T650+V650</f>
        <v>12655786.839999991</v>
      </c>
    </row>
    <row r="652" spans="1:29" x14ac:dyDescent="0.2">
      <c r="A652" s="154" t="s">
        <v>241</v>
      </c>
      <c r="Z652" s="156" t="str">
        <f>IF(Z651=Z650,"Check","NO")</f>
        <v>Check</v>
      </c>
    </row>
    <row r="653" spans="1:29" ht="38.25" x14ac:dyDescent="0.2">
      <c r="A653" s="86" t="s">
        <v>143</v>
      </c>
      <c r="B653" s="87" t="s">
        <v>144</v>
      </c>
      <c r="C653" s="87" t="s">
        <v>145</v>
      </c>
      <c r="D653" s="87" t="s">
        <v>170</v>
      </c>
      <c r="E653" s="87" t="s">
        <v>171</v>
      </c>
      <c r="F653" s="87" t="s">
        <v>172</v>
      </c>
      <c r="G653" s="87" t="s">
        <v>146</v>
      </c>
      <c r="H653" s="87" t="s">
        <v>147</v>
      </c>
      <c r="I653" s="87" t="s">
        <v>148</v>
      </c>
      <c r="J653" s="87" t="s">
        <v>169</v>
      </c>
      <c r="K653" s="87" t="s">
        <v>136</v>
      </c>
      <c r="L653" s="87" t="s">
        <v>149</v>
      </c>
      <c r="M653" s="87" t="s">
        <v>163</v>
      </c>
      <c r="N653" s="87" t="s">
        <v>164</v>
      </c>
      <c r="O653" s="87" t="s">
        <v>207</v>
      </c>
      <c r="P653" s="87" t="s">
        <v>150</v>
      </c>
      <c r="Q653" s="87" t="s">
        <v>151</v>
      </c>
      <c r="R653" s="87" t="s">
        <v>152</v>
      </c>
      <c r="S653" s="87" t="s">
        <v>153</v>
      </c>
      <c r="T653" s="87" t="s">
        <v>154</v>
      </c>
      <c r="U653" s="87" t="s">
        <v>155</v>
      </c>
      <c r="V653" s="87" t="s">
        <v>156</v>
      </c>
      <c r="W653" s="87" t="s">
        <v>157</v>
      </c>
      <c r="X653" s="87" t="s">
        <v>165</v>
      </c>
      <c r="Y653" s="87" t="s">
        <v>166</v>
      </c>
      <c r="Z653" s="87" t="s">
        <v>158</v>
      </c>
      <c r="AA653" s="87" t="s">
        <v>173</v>
      </c>
      <c r="AB653" s="87" t="s">
        <v>175</v>
      </c>
    </row>
    <row r="654" spans="1:29" x14ac:dyDescent="0.2">
      <c r="A654" s="288">
        <v>40999</v>
      </c>
      <c r="B654" s="83">
        <v>11843687.199999999</v>
      </c>
      <c r="C654" s="83">
        <v>0</v>
      </c>
      <c r="D654" s="83">
        <v>0</v>
      </c>
      <c r="E654" s="141">
        <f t="shared" ref="E654:E660" si="101">B654-C654+D654</f>
        <v>11843687.199999999</v>
      </c>
      <c r="F654" s="83">
        <v>8858214.2799999993</v>
      </c>
      <c r="G654" s="141">
        <f t="shared" ref="G654:G660" si="102">E654-F654</f>
        <v>2985472.92</v>
      </c>
      <c r="H654" s="83">
        <v>113462.22</v>
      </c>
      <c r="J654" s="91">
        <v>2984009.18</v>
      </c>
      <c r="K654" s="83">
        <v>1831575.31</v>
      </c>
      <c r="M654" s="84">
        <v>1074119.22</v>
      </c>
      <c r="O654" s="84">
        <v>67522.679999999993</v>
      </c>
      <c r="P654" s="83">
        <v>779724.04</v>
      </c>
      <c r="R654" s="83">
        <v>492631.27</v>
      </c>
      <c r="T654" s="83">
        <v>9723.43</v>
      </c>
      <c r="V654" s="83">
        <v>0</v>
      </c>
      <c r="Z654" s="153">
        <f t="shared" ref="Z654:Z658" si="103">B654-C654-H654-J654-P654-R654-T654+V654</f>
        <v>7464137.0599999987</v>
      </c>
      <c r="AA654" s="92">
        <v>7464137.0599999996</v>
      </c>
      <c r="AB654" s="92">
        <f t="shared" ref="AB654" si="104">Z654-AA654</f>
        <v>0</v>
      </c>
      <c r="AC654" s="347" t="s">
        <v>242</v>
      </c>
    </row>
    <row r="655" spans="1:29" x14ac:dyDescent="0.2">
      <c r="A655" s="288">
        <v>41090</v>
      </c>
      <c r="B655" s="83">
        <v>16727731.859999999</v>
      </c>
      <c r="C655" s="83">
        <v>0</v>
      </c>
      <c r="D655" s="83">
        <v>8858214.2799999993</v>
      </c>
      <c r="E655" s="141">
        <f t="shared" si="101"/>
        <v>25585946.140000001</v>
      </c>
      <c r="F655" s="83">
        <v>18397087.899999999</v>
      </c>
      <c r="G655" s="141">
        <f t="shared" si="102"/>
        <v>7188858.2400000021</v>
      </c>
      <c r="H655" s="83">
        <v>537910.75</v>
      </c>
      <c r="J655" s="91">
        <v>4059431.17</v>
      </c>
      <c r="K655" s="83">
        <v>2606040.83</v>
      </c>
      <c r="M655" s="84">
        <v>1391317.19</v>
      </c>
      <c r="O655" s="84">
        <v>62839.96</v>
      </c>
      <c r="P655" s="83">
        <v>381379.56</v>
      </c>
      <c r="R655" s="83">
        <v>710697.98</v>
      </c>
      <c r="T655" s="83">
        <v>49073.79</v>
      </c>
      <c r="V655" s="83">
        <v>0</v>
      </c>
      <c r="Z655" s="153">
        <f t="shared" si="103"/>
        <v>10989238.609999999</v>
      </c>
      <c r="AA655" s="92">
        <v>10989238.609999999</v>
      </c>
      <c r="AB655" s="92">
        <f>Z655-AA655</f>
        <v>0</v>
      </c>
      <c r="AC655" s="347"/>
    </row>
    <row r="656" spans="1:29" x14ac:dyDescent="0.2">
      <c r="A656" s="288">
        <v>41182</v>
      </c>
      <c r="B656" s="83">
        <v>18572646.280000001</v>
      </c>
      <c r="C656" s="83">
        <v>5845</v>
      </c>
      <c r="D656" s="83">
        <v>18397087.899999999</v>
      </c>
      <c r="E656" s="141">
        <f t="shared" si="101"/>
        <v>36963889.18</v>
      </c>
      <c r="F656" s="83">
        <v>24304509.350000001</v>
      </c>
      <c r="G656" s="141">
        <f t="shared" si="102"/>
        <v>12659379.829999998</v>
      </c>
      <c r="H656" s="83">
        <v>1039856.85</v>
      </c>
      <c r="J656" s="91">
        <v>4109639.67</v>
      </c>
      <c r="K656" s="83">
        <v>2867633.71</v>
      </c>
      <c r="M656" s="84">
        <v>1182058.0900000001</v>
      </c>
      <c r="O656" s="84">
        <v>62839.96</v>
      </c>
      <c r="P656" s="83">
        <v>374911.67</v>
      </c>
      <c r="R656" s="83">
        <v>728691.11</v>
      </c>
      <c r="T656" s="83">
        <v>123003.36</v>
      </c>
      <c r="V656" s="83">
        <v>0</v>
      </c>
      <c r="Z656" s="153">
        <f t="shared" si="103"/>
        <v>12190698.620000001</v>
      </c>
      <c r="AA656" s="92">
        <v>12190698.619999999</v>
      </c>
      <c r="AB656" s="92">
        <f>Z656-AA656</f>
        <v>0</v>
      </c>
      <c r="AC656" s="347"/>
    </row>
    <row r="657" spans="1:29" x14ac:dyDescent="0.2">
      <c r="A657" s="288">
        <v>41274</v>
      </c>
      <c r="B657" s="83">
        <v>20899895.75</v>
      </c>
      <c r="C657" s="83">
        <v>41115.51</v>
      </c>
      <c r="D657" s="83">
        <v>24304509.350000001</v>
      </c>
      <c r="E657" s="141">
        <f t="shared" si="101"/>
        <v>45163289.590000004</v>
      </c>
      <c r="F657" s="83">
        <v>27015378.760000002</v>
      </c>
      <c r="G657" s="141">
        <f t="shared" si="102"/>
        <v>18147910.830000002</v>
      </c>
      <c r="H657" s="83">
        <v>2410294.21</v>
      </c>
      <c r="J657" s="91">
        <v>4747626.2300000004</v>
      </c>
      <c r="K657" s="83">
        <v>3358572.67</v>
      </c>
      <c r="M657" s="84">
        <v>1327590.6200000001</v>
      </c>
      <c r="O657" s="84">
        <v>64295.93</v>
      </c>
      <c r="P657" s="83">
        <v>412540.93</v>
      </c>
      <c r="R657" s="83">
        <v>870542.82</v>
      </c>
      <c r="T657" s="83">
        <v>301434.07</v>
      </c>
      <c r="V657" s="83">
        <v>0</v>
      </c>
      <c r="Z657" s="153">
        <f t="shared" si="103"/>
        <v>12116341.979999997</v>
      </c>
      <c r="AA657" s="92">
        <v>12116341.98</v>
      </c>
      <c r="AB657" s="92">
        <f t="shared" ref="AB657" si="105">Z657-AA657</f>
        <v>0</v>
      </c>
      <c r="AC657" s="347"/>
    </row>
    <row r="658" spans="1:29" x14ac:dyDescent="0.2">
      <c r="A658" s="288">
        <v>41364</v>
      </c>
      <c r="B658" s="83">
        <v>7688623.8099999996</v>
      </c>
      <c r="C658" s="83">
        <v>15849</v>
      </c>
      <c r="D658" s="83">
        <v>27015378.760000002</v>
      </c>
      <c r="E658" s="141">
        <f t="shared" si="101"/>
        <v>34688153.57</v>
      </c>
      <c r="F658" s="83">
        <v>18311358.59</v>
      </c>
      <c r="G658" s="141">
        <f t="shared" si="102"/>
        <v>16376794.98</v>
      </c>
      <c r="H658" s="83">
        <v>3271304.56</v>
      </c>
      <c r="J658" s="91">
        <v>1480807.63</v>
      </c>
      <c r="K658" s="83">
        <v>1394568.73</v>
      </c>
      <c r="M658" s="84">
        <v>85858.74</v>
      </c>
      <c r="O658" s="84">
        <v>0</v>
      </c>
      <c r="P658" s="83">
        <v>11143.02</v>
      </c>
      <c r="R658" s="83">
        <v>308923.78000000003</v>
      </c>
      <c r="T658" s="83">
        <v>427147.61</v>
      </c>
      <c r="V658" s="83">
        <v>0</v>
      </c>
      <c r="Z658" s="153">
        <f t="shared" si="103"/>
        <v>2173448.2100000004</v>
      </c>
      <c r="AA658" s="92">
        <v>2173448.21</v>
      </c>
      <c r="AB658" s="92">
        <f>Z658-AA658</f>
        <v>0</v>
      </c>
      <c r="AC658" s="347"/>
    </row>
    <row r="659" spans="1:29" x14ac:dyDescent="0.2">
      <c r="A659" s="288">
        <v>41455</v>
      </c>
      <c r="B659" s="83">
        <v>3426164.05</v>
      </c>
      <c r="C659" s="83">
        <v>86115.41</v>
      </c>
      <c r="D659" s="83">
        <v>18311358.59</v>
      </c>
      <c r="E659" s="141">
        <f t="shared" si="101"/>
        <v>21651407.23</v>
      </c>
      <c r="F659" s="83">
        <v>8740740.7200000007</v>
      </c>
      <c r="G659" s="141">
        <f t="shared" si="102"/>
        <v>12910666.51</v>
      </c>
      <c r="H659" s="83">
        <v>4902423.74</v>
      </c>
      <c r="J659" s="91">
        <v>548899.36</v>
      </c>
      <c r="K659" s="83">
        <v>607138.62</v>
      </c>
      <c r="M659" s="84">
        <v>-53272.02</v>
      </c>
      <c r="O659" s="84">
        <v>0</v>
      </c>
      <c r="P659" s="83">
        <v>-454908.62</v>
      </c>
      <c r="R659" s="83">
        <v>142884.75</v>
      </c>
      <c r="T659" s="83">
        <v>629544.07999999996</v>
      </c>
      <c r="V659" s="83">
        <v>0</v>
      </c>
      <c r="Z659" s="153">
        <f>B659-C659-H659-J659-P659-R659-T659+V659</f>
        <v>-2428794.6700000004</v>
      </c>
      <c r="AA659" s="92">
        <v>-2428794.67</v>
      </c>
      <c r="AB659" s="92">
        <f>Z659-AA659</f>
        <v>0</v>
      </c>
      <c r="AC659" s="347"/>
    </row>
    <row r="660" spans="1:29" x14ac:dyDescent="0.2">
      <c r="A660" s="288">
        <v>41547</v>
      </c>
      <c r="B660" s="83">
        <v>2262036.91</v>
      </c>
      <c r="C660" s="83">
        <v>46711.040000000001</v>
      </c>
      <c r="D660" s="83">
        <v>8740740.7200000007</v>
      </c>
      <c r="E660" s="141">
        <f t="shared" si="101"/>
        <v>10956066.59</v>
      </c>
      <c r="F660" s="83">
        <v>2335651.89</v>
      </c>
      <c r="G660" s="141">
        <f t="shared" si="102"/>
        <v>8620414.6999999993</v>
      </c>
      <c r="H660" s="83">
        <v>4066318.57</v>
      </c>
      <c r="J660" s="91">
        <v>417957.27</v>
      </c>
      <c r="K660" s="83">
        <v>431953.25</v>
      </c>
      <c r="M660" s="84">
        <v>-13723.6</v>
      </c>
      <c r="P660" s="83">
        <v>9948.42</v>
      </c>
      <c r="R660" s="83">
        <v>84851.97</v>
      </c>
      <c r="T660" s="83">
        <v>611396.79</v>
      </c>
      <c r="V660" s="83">
        <v>0</v>
      </c>
      <c r="Z660" s="153">
        <f>B660-C660-H660-J660-P660-R660-T660+V660</f>
        <v>-2975147.15</v>
      </c>
      <c r="AA660" s="92">
        <v>-2975147.15</v>
      </c>
      <c r="AB660" s="92">
        <f>Z660-AA660</f>
        <v>0</v>
      </c>
      <c r="AC660" s="347"/>
    </row>
    <row r="661" spans="1:29" x14ac:dyDescent="0.2">
      <c r="B661" s="163">
        <f>SUM(B654:B660)</f>
        <v>81420785.859999999</v>
      </c>
      <c r="C661" s="163">
        <f>SUM(C654:C660)</f>
        <v>195635.96000000002</v>
      </c>
      <c r="D661" s="163">
        <f>D659</f>
        <v>18311358.59</v>
      </c>
      <c r="E661" s="163">
        <f>SUM(E654:E660)</f>
        <v>186852439.5</v>
      </c>
      <c r="F661" s="163">
        <f>F659</f>
        <v>8740740.7200000007</v>
      </c>
      <c r="G661" s="163">
        <f>SUM(G654:G660)</f>
        <v>78889498.01000002</v>
      </c>
      <c r="H661" s="163">
        <f>SUM(H654:H660)</f>
        <v>16341570.9</v>
      </c>
      <c r="I661" s="163">
        <f t="shared" ref="I661:Y661" si="106">SUM(I654:I656)</f>
        <v>0</v>
      </c>
      <c r="J661" s="163">
        <f>SUM(J654:J660)</f>
        <v>18348370.509999998</v>
      </c>
      <c r="K661" s="163">
        <f>SUM(K654:K660)</f>
        <v>13097483.119999999</v>
      </c>
      <c r="L661" s="163">
        <f t="shared" si="106"/>
        <v>0</v>
      </c>
      <c r="M661" s="163">
        <f>SUM(M654:M660)</f>
        <v>4993948.2400000012</v>
      </c>
      <c r="N661" s="163">
        <f>SUM(N654:N656)</f>
        <v>0</v>
      </c>
      <c r="O661" s="163">
        <f>SUM(O654:O659)</f>
        <v>257498.52999999997</v>
      </c>
      <c r="P661" s="163">
        <f>SUM(P654:P660)</f>
        <v>1514739.02</v>
      </c>
      <c r="Q661" s="129">
        <f>P661/G661</f>
        <v>1.9200768900925088E-2</v>
      </c>
      <c r="R661" s="163">
        <f>SUM(R654:R660)</f>
        <v>3339223.68</v>
      </c>
      <c r="S661" s="97">
        <f>R661/G661</f>
        <v>4.2327860668814506E-2</v>
      </c>
      <c r="T661" s="163">
        <f>SUM(T654:T660)</f>
        <v>2151323.13</v>
      </c>
      <c r="U661" s="129">
        <f>T661/G661</f>
        <v>2.7270082637961501E-2</v>
      </c>
      <c r="V661" s="163">
        <f>SUM(V654:V660)</f>
        <v>0</v>
      </c>
      <c r="W661" s="97">
        <f>V661/G661</f>
        <v>0</v>
      </c>
      <c r="X661" s="163">
        <f t="shared" si="106"/>
        <v>0</v>
      </c>
      <c r="Y661" s="163">
        <f t="shared" si="106"/>
        <v>0</v>
      </c>
      <c r="Z661" s="163">
        <f>SUM(Z654:Z660)</f>
        <v>39529922.659999996</v>
      </c>
    </row>
    <row r="662" spans="1:29" x14ac:dyDescent="0.2">
      <c r="K662" s="83">
        <f>J660-K660-M660-O660</f>
        <v>-272.37999999998101</v>
      </c>
      <c r="Z662" s="153">
        <f>B661-C661-H661-J661-P661-R661-T661+V661</f>
        <v>39529922.660000004</v>
      </c>
    </row>
    <row r="663" spans="1:29" x14ac:dyDescent="0.2">
      <c r="A663" s="154" t="s">
        <v>256</v>
      </c>
      <c r="Z663" s="156" t="str">
        <f>IF(Z662=Z661,"Check","NO")</f>
        <v>Check</v>
      </c>
    </row>
    <row r="664" spans="1:29" ht="38.25" x14ac:dyDescent="0.2">
      <c r="A664" s="86" t="s">
        <v>143</v>
      </c>
      <c r="B664" s="87" t="s">
        <v>144</v>
      </c>
      <c r="C664" s="87" t="s">
        <v>145</v>
      </c>
      <c r="D664" s="87" t="s">
        <v>170</v>
      </c>
      <c r="E664" s="87" t="s">
        <v>171</v>
      </c>
      <c r="F664" s="87" t="s">
        <v>172</v>
      </c>
      <c r="G664" s="87" t="s">
        <v>146</v>
      </c>
      <c r="H664" s="87" t="s">
        <v>147</v>
      </c>
      <c r="I664" s="87" t="s">
        <v>148</v>
      </c>
      <c r="J664" s="87" t="s">
        <v>169</v>
      </c>
      <c r="K664" s="87" t="s">
        <v>136</v>
      </c>
      <c r="L664" s="87" t="s">
        <v>149</v>
      </c>
      <c r="M664" s="87" t="s">
        <v>163</v>
      </c>
      <c r="N664" s="87" t="s">
        <v>164</v>
      </c>
      <c r="O664" s="87" t="s">
        <v>207</v>
      </c>
      <c r="P664" s="87" t="s">
        <v>150</v>
      </c>
      <c r="Q664" s="87" t="s">
        <v>151</v>
      </c>
      <c r="R664" s="87" t="s">
        <v>152</v>
      </c>
      <c r="S664" s="87" t="s">
        <v>153</v>
      </c>
      <c r="T664" s="87" t="s">
        <v>154</v>
      </c>
      <c r="U664" s="87" t="s">
        <v>155</v>
      </c>
      <c r="V664" s="87" t="s">
        <v>156</v>
      </c>
      <c r="W664" s="87" t="s">
        <v>157</v>
      </c>
      <c r="X664" s="87" t="s">
        <v>165</v>
      </c>
      <c r="Y664" s="87" t="s">
        <v>166</v>
      </c>
      <c r="Z664" s="87" t="s">
        <v>158</v>
      </c>
      <c r="AA664" s="87" t="s">
        <v>173</v>
      </c>
      <c r="AB664" s="87" t="s">
        <v>175</v>
      </c>
    </row>
    <row r="665" spans="1:29" x14ac:dyDescent="0.2">
      <c r="A665" s="288">
        <v>41364</v>
      </c>
      <c r="B665" s="83">
        <v>13516732.91</v>
      </c>
      <c r="C665" s="83">
        <v>0</v>
      </c>
      <c r="D665" s="83">
        <v>0</v>
      </c>
      <c r="E665" s="141">
        <f>B665-C665+D665</f>
        <v>13516732.91</v>
      </c>
      <c r="F665" s="83">
        <v>10022344.32</v>
      </c>
      <c r="G665" s="141">
        <f>E665-F665</f>
        <v>3494388.59</v>
      </c>
      <c r="H665" s="83">
        <v>55701.36</v>
      </c>
      <c r="J665" s="91">
        <v>3271434.03</v>
      </c>
      <c r="K665" s="83">
        <v>2107992.7799999998</v>
      </c>
      <c r="M665" s="84">
        <v>1086853.04</v>
      </c>
      <c r="O665" s="84">
        <v>64295.93</v>
      </c>
      <c r="P665" s="83">
        <v>367766.08</v>
      </c>
      <c r="R665" s="83">
        <v>541811.81000000006</v>
      </c>
      <c r="T665" s="83">
        <v>5353.83</v>
      </c>
      <c r="V665" s="83">
        <v>62.5</v>
      </c>
      <c r="Z665" s="153">
        <f t="shared" ref="Z665:Z667" si="107">B665-C665-H665-J665-P665-R665-T665+V665</f>
        <v>9274728.3000000007</v>
      </c>
      <c r="AA665" s="92">
        <v>9274728.3000000007</v>
      </c>
      <c r="AB665" s="92">
        <f t="shared" ref="AB665" si="108">Z665-AA665</f>
        <v>0</v>
      </c>
      <c r="AC665" s="347"/>
    </row>
    <row r="666" spans="1:29" x14ac:dyDescent="0.2">
      <c r="A666" s="288">
        <v>41455</v>
      </c>
      <c r="B666" s="83">
        <v>18776020.52</v>
      </c>
      <c r="C666" s="83">
        <v>0</v>
      </c>
      <c r="D666" s="83">
        <v>10022344.32</v>
      </c>
      <c r="E666" s="141">
        <f>B666-C666+D666</f>
        <v>28798364.84</v>
      </c>
      <c r="F666" s="83">
        <v>20309880.84</v>
      </c>
      <c r="G666" s="141">
        <f>E666-F666</f>
        <v>8488484</v>
      </c>
      <c r="H666" s="83">
        <v>401671.5</v>
      </c>
      <c r="J666" s="91">
        <v>4528976.97</v>
      </c>
      <c r="K666" s="83">
        <v>2920896.87</v>
      </c>
      <c r="M666" s="84">
        <v>1479886.09</v>
      </c>
      <c r="O666" s="84">
        <v>129183.33</v>
      </c>
      <c r="P666" s="83">
        <v>856074.36</v>
      </c>
      <c r="R666" s="83">
        <v>771809.18</v>
      </c>
      <c r="T666" s="83">
        <v>41983.25</v>
      </c>
      <c r="V666" s="83">
        <v>0</v>
      </c>
      <c r="Z666" s="153">
        <f t="shared" si="107"/>
        <v>12175505.260000002</v>
      </c>
      <c r="AA666" s="92">
        <v>12175505.26</v>
      </c>
      <c r="AB666" s="92">
        <f>Z666-AA666</f>
        <v>0</v>
      </c>
      <c r="AC666" s="347"/>
    </row>
    <row r="667" spans="1:29" x14ac:dyDescent="0.2">
      <c r="A667" s="288">
        <v>41547</v>
      </c>
      <c r="B667" s="83">
        <v>25000149.609999999</v>
      </c>
      <c r="C667" s="83">
        <v>831</v>
      </c>
      <c r="D667" s="83">
        <v>20309880.84</v>
      </c>
      <c r="E667" s="141">
        <f>B667-C667+D667</f>
        <v>45309199.450000003</v>
      </c>
      <c r="F667" s="83">
        <v>30074951.25</v>
      </c>
      <c r="G667" s="141">
        <f>E667-F667</f>
        <v>15234248.200000003</v>
      </c>
      <c r="H667" s="83">
        <v>1200281.33</v>
      </c>
      <c r="J667" s="91">
        <v>5439959.54</v>
      </c>
      <c r="K667" s="83">
        <v>3921874.49</v>
      </c>
      <c r="M667" s="84">
        <v>1405178.04</v>
      </c>
      <c r="O667" s="84">
        <v>112339.58</v>
      </c>
      <c r="P667" s="83">
        <v>355497.06</v>
      </c>
      <c r="R667" s="83">
        <v>951032.98</v>
      </c>
      <c r="T667" s="83">
        <v>139903.24</v>
      </c>
      <c r="V667" s="83">
        <v>0</v>
      </c>
      <c r="Z667" s="153">
        <f t="shared" si="107"/>
        <v>16912644.460000005</v>
      </c>
      <c r="AA667" s="92">
        <v>16912644.460000001</v>
      </c>
      <c r="AB667" s="92"/>
      <c r="AC667" s="347"/>
    </row>
    <row r="668" spans="1:29" x14ac:dyDescent="0.2">
      <c r="B668" s="163">
        <f>SUM(B665:B667)</f>
        <v>57292903.039999999</v>
      </c>
      <c r="C668" s="163">
        <f t="shared" ref="C668:Z668" si="109">SUM(C665:C667)</f>
        <v>831</v>
      </c>
      <c r="D668" s="163">
        <f t="shared" si="109"/>
        <v>30332225.16</v>
      </c>
      <c r="E668" s="163">
        <f t="shared" si="109"/>
        <v>87624297.200000003</v>
      </c>
      <c r="F668" s="163">
        <f t="shared" si="109"/>
        <v>60407176.409999996</v>
      </c>
      <c r="G668" s="163">
        <f t="shared" si="109"/>
        <v>27217120.790000003</v>
      </c>
      <c r="H668" s="163">
        <f t="shared" si="109"/>
        <v>1657654.19</v>
      </c>
      <c r="I668" s="163">
        <f t="shared" si="109"/>
        <v>0</v>
      </c>
      <c r="J668" s="163">
        <f t="shared" si="109"/>
        <v>13240370.539999999</v>
      </c>
      <c r="K668" s="163">
        <f t="shared" si="109"/>
        <v>8950764.1400000006</v>
      </c>
      <c r="L668" s="163">
        <f t="shared" si="109"/>
        <v>0</v>
      </c>
      <c r="M668" s="163">
        <f t="shared" si="109"/>
        <v>3971917.17</v>
      </c>
      <c r="N668" s="163">
        <f t="shared" si="109"/>
        <v>0</v>
      </c>
      <c r="O668" s="163">
        <f t="shared" si="109"/>
        <v>305818.84000000003</v>
      </c>
      <c r="P668" s="163">
        <f t="shared" si="109"/>
        <v>1579337.5</v>
      </c>
      <c r="Q668" s="163">
        <f t="shared" si="109"/>
        <v>0</v>
      </c>
      <c r="R668" s="163">
        <f t="shared" si="109"/>
        <v>2264653.9700000002</v>
      </c>
      <c r="S668" s="163">
        <f t="shared" si="109"/>
        <v>0</v>
      </c>
      <c r="T668" s="163">
        <f t="shared" si="109"/>
        <v>187240.32000000001</v>
      </c>
      <c r="U668" s="163">
        <f t="shared" si="109"/>
        <v>0</v>
      </c>
      <c r="V668" s="163">
        <f t="shared" si="109"/>
        <v>62.5</v>
      </c>
      <c r="W668" s="163">
        <f t="shared" si="109"/>
        <v>0</v>
      </c>
      <c r="X668" s="163">
        <f t="shared" si="109"/>
        <v>0</v>
      </c>
      <c r="Y668" s="163">
        <f t="shared" si="109"/>
        <v>0</v>
      </c>
      <c r="Z668" s="163">
        <f t="shared" si="109"/>
        <v>38362878.020000011</v>
      </c>
    </row>
    <row r="669" spans="1:29" x14ac:dyDescent="0.2">
      <c r="K669" s="83">
        <f>J667-K667-M667-O667</f>
        <v>567.42999999977474</v>
      </c>
      <c r="Z669" s="153">
        <f>B668-C668-H668-J668-P668-R668-T668+V668</f>
        <v>38362878.020000003</v>
      </c>
    </row>
    <row r="670" spans="1:29" x14ac:dyDescent="0.2">
      <c r="Z670" s="156" t="str">
        <f>IF(Z668=Z669,"Check","NO")</f>
        <v>Check</v>
      </c>
    </row>
    <row r="671" spans="1:29" x14ac:dyDescent="0.2">
      <c r="J671" s="83" t="s">
        <v>253</v>
      </c>
    </row>
    <row r="672" spans="1:29" x14ac:dyDescent="0.2">
      <c r="J672" s="83" t="s">
        <v>254</v>
      </c>
    </row>
    <row r="673" spans="10:10" x14ac:dyDescent="0.2">
      <c r="J673" s="83" t="s">
        <v>255</v>
      </c>
    </row>
  </sheetData>
  <phoneticPr fontId="4" type="noConversion"/>
  <conditionalFormatting sqref="J5:J63">
    <cfRule type="cellIs" dxfId="15" priority="41" stopIfTrue="1" operator="notEqual">
      <formula>K5+M5</formula>
    </cfRule>
  </conditionalFormatting>
  <conditionalFormatting sqref="J68:J121">
    <cfRule type="cellIs" dxfId="14" priority="40" stopIfTrue="1" operator="notEqual">
      <formula>K68+M68</formula>
    </cfRule>
  </conditionalFormatting>
  <conditionalFormatting sqref="J126:J175">
    <cfRule type="cellIs" dxfId="13" priority="39" stopIfTrue="1" operator="notEqual">
      <formula>K126+M126</formula>
    </cfRule>
  </conditionalFormatting>
  <conditionalFormatting sqref="J180:J225">
    <cfRule type="cellIs" dxfId="12" priority="38" stopIfTrue="1" operator="notEqual">
      <formula>K180+M180</formula>
    </cfRule>
  </conditionalFormatting>
  <conditionalFormatting sqref="J230:J273">
    <cfRule type="cellIs" dxfId="11" priority="37" stopIfTrue="1" operator="notEqual">
      <formula>K230+M230</formula>
    </cfRule>
  </conditionalFormatting>
  <conditionalFormatting sqref="J278:J323">
    <cfRule type="cellIs" dxfId="10" priority="42" stopIfTrue="1" operator="notEqual">
      <formula>K278+M278</formula>
    </cfRule>
  </conditionalFormatting>
  <conditionalFormatting sqref="J328:J370">
    <cfRule type="cellIs" dxfId="9" priority="35" stopIfTrue="1" operator="notEqual">
      <formula>K328+M328</formula>
    </cfRule>
  </conditionalFormatting>
  <conditionalFormatting sqref="J375:J417">
    <cfRule type="cellIs" dxfId="8" priority="34" stopIfTrue="1" operator="notEqual">
      <formula>K375+M375</formula>
    </cfRule>
  </conditionalFormatting>
  <conditionalFormatting sqref="J422:J460">
    <cfRule type="cellIs" dxfId="7" priority="33" stopIfTrue="1" operator="notEqual">
      <formula>K422+M422</formula>
    </cfRule>
  </conditionalFormatting>
  <conditionalFormatting sqref="J465:J499">
    <cfRule type="cellIs" dxfId="6" priority="9" operator="notEqual">
      <formula>K465+M465+O465</formula>
    </cfRule>
  </conditionalFormatting>
  <conditionalFormatting sqref="J504:J534 J654:J660 J665:J667">
    <cfRule type="cellIs" dxfId="5" priority="31" stopIfTrue="1" operator="notEqual">
      <formula>K504+M504+O504</formula>
    </cfRule>
  </conditionalFormatting>
  <conditionalFormatting sqref="J539:J565 J639:J649">
    <cfRule type="cellIs" dxfId="4" priority="30" stopIfTrue="1" operator="notEqual">
      <formula>K539+M539+O539</formula>
    </cfRule>
  </conditionalFormatting>
  <conditionalFormatting sqref="J570">
    <cfRule type="cellIs" dxfId="3" priority="27" stopIfTrue="1" operator="notEqual">
      <formula>K570+M570+O570</formula>
    </cfRule>
  </conditionalFormatting>
  <conditionalFormatting sqref="J576:J592">
    <cfRule type="cellIs" dxfId="2" priority="8" stopIfTrue="1" operator="notEqual">
      <formula>K576+M576+O576</formula>
    </cfRule>
  </conditionalFormatting>
  <conditionalFormatting sqref="J597:J615">
    <cfRule type="cellIs" dxfId="1" priority="1" stopIfTrue="1" operator="notEqual">
      <formula>K597+M597+O597</formula>
    </cfRule>
  </conditionalFormatting>
  <conditionalFormatting sqref="J620:J634">
    <cfRule type="cellIs" dxfId="0" priority="6" stopIfTrue="1" operator="notEqual">
      <formula>K620+M620+O620</formula>
    </cfRule>
  </conditionalFormatting>
  <pageMargins left="0.25" right="0.25" top="0.25" bottom="0.25" header="0.25" footer="0.25"/>
  <pageSetup scale="10" fitToHeight="1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2"/>
    <pageSetUpPr fitToPage="1"/>
  </sheetPr>
  <dimension ref="A2:P47"/>
  <sheetViews>
    <sheetView workbookViewId="0">
      <selection sqref="A1:N1"/>
    </sheetView>
  </sheetViews>
  <sheetFormatPr defaultColWidth="9.140625" defaultRowHeight="12.75" x14ac:dyDescent="0.2"/>
  <cols>
    <col min="1" max="1" width="8.42578125" style="223" customWidth="1"/>
    <col min="2" max="2" width="34.140625" style="264" bestFit="1" customWidth="1"/>
    <col min="3" max="3" width="20.5703125" style="221" hidden="1" customWidth="1"/>
    <col min="4" max="4" width="18.42578125" style="221" hidden="1" customWidth="1"/>
    <col min="5" max="5" width="17.7109375" style="221" hidden="1" customWidth="1"/>
    <col min="6" max="6" width="17.140625" style="221" hidden="1" customWidth="1"/>
    <col min="7" max="9" width="17.140625" style="221" bestFit="1" customWidth="1"/>
    <col min="10" max="16" width="17.140625" style="221" customWidth="1"/>
    <col min="17" max="16384" width="9.140625" style="221"/>
  </cols>
  <sheetData>
    <row r="2" spans="1:16" ht="15.75" x14ac:dyDescent="0.25">
      <c r="C2" s="440"/>
      <c r="D2" s="440"/>
      <c r="E2" s="440"/>
      <c r="F2" s="440"/>
      <c r="G2" s="440"/>
      <c r="H2" s="440"/>
      <c r="I2" s="440"/>
      <c r="J2" s="440"/>
      <c r="K2" s="265"/>
      <c r="L2" s="265"/>
      <c r="M2" s="265"/>
      <c r="N2" s="265"/>
      <c r="O2" s="265"/>
      <c r="P2" s="265"/>
    </row>
    <row r="6" spans="1:16" x14ac:dyDescent="0.2">
      <c r="C6" s="222">
        <v>2002</v>
      </c>
      <c r="D6" s="222">
        <v>2003</v>
      </c>
      <c r="E6" s="222">
        <v>2004</v>
      </c>
      <c r="F6" s="222">
        <v>2005</v>
      </c>
      <c r="G6" s="222">
        <v>2006</v>
      </c>
      <c r="H6" s="222">
        <v>2007</v>
      </c>
      <c r="I6" s="222">
        <v>2008</v>
      </c>
      <c r="J6" s="222">
        <v>2009</v>
      </c>
      <c r="K6" s="222">
        <v>2010</v>
      </c>
      <c r="L6" s="222">
        <v>2011</v>
      </c>
      <c r="M6" s="222">
        <v>2012</v>
      </c>
      <c r="N6" s="222">
        <v>2013</v>
      </c>
      <c r="O6" s="222">
        <v>2014</v>
      </c>
      <c r="P6" s="222">
        <v>2015</v>
      </c>
    </row>
    <row r="8" spans="1:16" x14ac:dyDescent="0.2">
      <c r="B8" s="266" t="s">
        <v>106</v>
      </c>
    </row>
    <row r="9" spans="1:16" x14ac:dyDescent="0.2">
      <c r="B9" s="264" t="s">
        <v>112</v>
      </c>
      <c r="C9" s="267" t="e">
        <f>'Burden Inputs'!#REF!</f>
        <v>#REF!</v>
      </c>
      <c r="D9" s="267" t="e">
        <f>'Burden Inputs'!#REF!</f>
        <v>#REF!</v>
      </c>
      <c r="E9" s="267" t="e">
        <f>'Burden Inputs'!#REF!</f>
        <v>#REF!</v>
      </c>
      <c r="F9" s="267" t="e">
        <f>'Burden Inputs'!#REF!</f>
        <v>#REF!</v>
      </c>
      <c r="G9" s="267" t="e">
        <f>'Burden Inputs'!#REF!</f>
        <v>#REF!</v>
      </c>
      <c r="H9" s="267" t="e">
        <f>'Burden Inputs'!#REF!</f>
        <v>#REF!</v>
      </c>
      <c r="I9" s="267" t="e">
        <f>'Burden Inputs'!#REF!</f>
        <v>#REF!</v>
      </c>
      <c r="J9" s="267" t="e">
        <f>'Burden Inputs'!#REF!</f>
        <v>#REF!</v>
      </c>
      <c r="K9" s="267" t="e">
        <f>'Burden Inputs'!#REF!</f>
        <v>#REF!</v>
      </c>
      <c r="L9" s="267" t="e">
        <f>'Burden Inputs'!#REF!</f>
        <v>#REF!</v>
      </c>
      <c r="M9" s="267">
        <f>'Burden Inputs'!E25</f>
        <v>121738406</v>
      </c>
      <c r="N9" s="267">
        <f>'Burden Inputs'!E24</f>
        <v>121200631</v>
      </c>
      <c r="O9" s="267">
        <f>'Burden Inputs'!E23</f>
        <v>120901493</v>
      </c>
      <c r="P9" s="267">
        <f>'Burden Inputs'!E22</f>
        <v>103618715</v>
      </c>
    </row>
    <row r="10" spans="1:16" x14ac:dyDescent="0.2">
      <c r="B10" s="264" t="s">
        <v>104</v>
      </c>
      <c r="C10" s="268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>
        <f>'Burden Inputs'!G22</f>
        <v>0</v>
      </c>
      <c r="P10" s="269">
        <f>'Burden Inputs'!G21</f>
        <v>0</v>
      </c>
    </row>
    <row r="11" spans="1:16" x14ac:dyDescent="0.2">
      <c r="A11" s="256" t="s">
        <v>11</v>
      </c>
      <c r="B11" s="270" t="s">
        <v>105</v>
      </c>
      <c r="C11" s="267" t="e">
        <f t="shared" ref="C11:H11" si="0">C9</f>
        <v>#REF!</v>
      </c>
      <c r="D11" s="267" t="e">
        <f t="shared" si="0"/>
        <v>#REF!</v>
      </c>
      <c r="E11" s="267" t="e">
        <f t="shared" si="0"/>
        <v>#REF!</v>
      </c>
      <c r="F11" s="283" t="e">
        <f t="shared" si="0"/>
        <v>#REF!</v>
      </c>
      <c r="G11" s="283" t="e">
        <f t="shared" si="0"/>
        <v>#REF!</v>
      </c>
      <c r="H11" s="267" t="e">
        <f t="shared" si="0"/>
        <v>#REF!</v>
      </c>
      <c r="I11" s="267" t="e">
        <f>I9</f>
        <v>#REF!</v>
      </c>
      <c r="J11" s="267" t="e">
        <f>J9</f>
        <v>#REF!</v>
      </c>
      <c r="K11" s="267" t="e">
        <f>K9</f>
        <v>#REF!</v>
      </c>
      <c r="L11" s="267" t="e">
        <f t="shared" ref="L11:N11" si="1">L9</f>
        <v>#REF!</v>
      </c>
      <c r="M11" s="267">
        <f t="shared" si="1"/>
        <v>121738406</v>
      </c>
      <c r="N11" s="267">
        <f t="shared" si="1"/>
        <v>121200631</v>
      </c>
      <c r="O11" s="267">
        <f>'Burden Inputs'!I23</f>
        <v>120901493</v>
      </c>
      <c r="P11" s="267">
        <f>'Burden Inputs'!I22</f>
        <v>103618715</v>
      </c>
    </row>
    <row r="12" spans="1:16" s="223" customFormat="1" hidden="1" x14ac:dyDescent="0.2">
      <c r="B12" s="287" t="s">
        <v>234</v>
      </c>
      <c r="C12" s="223" t="s">
        <v>231</v>
      </c>
      <c r="D12" s="223" t="s">
        <v>231</v>
      </c>
      <c r="E12" s="223" t="s">
        <v>231</v>
      </c>
      <c r="F12" s="223" t="s">
        <v>231</v>
      </c>
      <c r="G12" s="223" t="s">
        <v>231</v>
      </c>
      <c r="H12" s="223" t="s">
        <v>231</v>
      </c>
      <c r="I12" s="223" t="s">
        <v>231</v>
      </c>
      <c r="J12" s="292" t="e">
        <f>36585936-J11</f>
        <v>#REF!</v>
      </c>
      <c r="K12" s="292" t="e">
        <f t="shared" ref="K12:P12" si="2">25930233-K11</f>
        <v>#REF!</v>
      </c>
      <c r="L12" s="292" t="e">
        <f t="shared" si="2"/>
        <v>#REF!</v>
      </c>
      <c r="M12" s="292">
        <f t="shared" si="2"/>
        <v>-95808173</v>
      </c>
      <c r="N12" s="292">
        <f t="shared" si="2"/>
        <v>-95270398</v>
      </c>
      <c r="O12" s="292">
        <f t="shared" si="2"/>
        <v>-94971260</v>
      </c>
      <c r="P12" s="292">
        <f t="shared" si="2"/>
        <v>-77688482</v>
      </c>
    </row>
    <row r="13" spans="1:16" s="223" customFormat="1" x14ac:dyDescent="0.2">
      <c r="B13" s="287"/>
      <c r="J13" s="292"/>
      <c r="K13" s="292"/>
      <c r="L13" s="292"/>
      <c r="M13" s="292"/>
      <c r="N13" s="292"/>
      <c r="O13" s="292"/>
      <c r="P13" s="292"/>
    </row>
    <row r="14" spans="1:16" x14ac:dyDescent="0.2">
      <c r="B14" s="266" t="s">
        <v>107</v>
      </c>
    </row>
    <row r="15" spans="1:16" x14ac:dyDescent="0.2">
      <c r="A15" s="256" t="s">
        <v>12</v>
      </c>
      <c r="B15" s="264" t="s">
        <v>215</v>
      </c>
      <c r="C15" s="263" t="e">
        <f>'Burden Inputs'!#REF!</f>
        <v>#REF!</v>
      </c>
      <c r="D15" s="263" t="e">
        <f>'Burden Inputs'!#REF!</f>
        <v>#REF!</v>
      </c>
      <c r="E15" s="263" t="e">
        <f>'Burden Inputs'!#REF!</f>
        <v>#REF!</v>
      </c>
      <c r="F15" s="263" t="e">
        <f>'Burden Inputs'!#REF!</f>
        <v>#REF!</v>
      </c>
      <c r="G15" s="263" t="e">
        <f>'Burden Inputs'!#REF!</f>
        <v>#REF!</v>
      </c>
      <c r="H15" s="263" t="e">
        <f>'Burden Inputs'!#REF!</f>
        <v>#REF!</v>
      </c>
      <c r="I15" s="263" t="e">
        <f>'Burden Inputs'!#REF!</f>
        <v>#REF!</v>
      </c>
      <c r="J15" s="263" t="e">
        <f>'Burden Inputs'!#REF!</f>
        <v>#REF!</v>
      </c>
      <c r="K15" s="263" t="e">
        <f>'Burden Inputs'!#REF!</f>
        <v>#REF!</v>
      </c>
      <c r="L15" s="263" t="e">
        <f>'Burden Inputs'!#REF!</f>
        <v>#REF!</v>
      </c>
      <c r="M15" s="263">
        <f>'Burden Inputs'!$C25</f>
        <v>0.64600000000000002</v>
      </c>
      <c r="N15" s="263">
        <f>'Burden Inputs'!$C24</f>
        <v>0.69</v>
      </c>
      <c r="O15" s="263">
        <f>'Burden Inputs'!$C23</f>
        <v>0.75</v>
      </c>
      <c r="P15" s="263">
        <f>'Burden Inputs'!$C22</f>
        <v>0.72</v>
      </c>
    </row>
    <row r="17" spans="1:16" x14ac:dyDescent="0.2">
      <c r="B17" s="266" t="s">
        <v>109</v>
      </c>
    </row>
    <row r="18" spans="1:16" x14ac:dyDescent="0.2">
      <c r="B18" s="221"/>
      <c r="C18" s="439" t="s">
        <v>119</v>
      </c>
      <c r="D18" s="439"/>
      <c r="E18" s="439" t="s">
        <v>118</v>
      </c>
      <c r="F18" s="439"/>
      <c r="G18" s="439"/>
      <c r="H18" s="439"/>
      <c r="I18" s="439"/>
      <c r="J18" s="439"/>
      <c r="K18" s="439"/>
      <c r="L18" s="439"/>
      <c r="M18" s="439"/>
    </row>
    <row r="19" spans="1:16" x14ac:dyDescent="0.2">
      <c r="B19" s="264" t="s">
        <v>230</v>
      </c>
      <c r="C19" s="271" t="e">
        <f>'Cash &amp; Detail'!K371/C11</f>
        <v>#REF!</v>
      </c>
      <c r="D19" s="271" t="e">
        <f>'Cash &amp; Detail'!K418/D11</f>
        <v>#REF!</v>
      </c>
      <c r="E19" s="272" t="e">
        <f>'Cash &amp; Detail'!K461/E11</f>
        <v>#REF!</v>
      </c>
      <c r="F19" s="272" t="e">
        <f>'Cash &amp; Detail'!K500/F11</f>
        <v>#REF!</v>
      </c>
      <c r="G19" s="272" t="e">
        <f>('Cash &amp; Detail'!K535)/G11</f>
        <v>#REF!</v>
      </c>
      <c r="H19" s="272" t="e">
        <f>('Cash &amp; Detail'!K566+'Cash &amp; Detail'!O566)/H11</f>
        <v>#REF!</v>
      </c>
      <c r="I19" s="272" t="e">
        <f>('Cash &amp; Detail'!K593+'Cash &amp; Detail'!O593)/I11</f>
        <v>#REF!</v>
      </c>
      <c r="J19" s="313" t="e">
        <f>('Cash &amp; Detail'!K616+'Cash &amp; Detail'!O616)/J11</f>
        <v>#REF!</v>
      </c>
      <c r="K19" s="313" t="e">
        <f>('Cash &amp; Detail'!K635+'Cash &amp; Detail'!O635)/J11</f>
        <v>#REF!</v>
      </c>
      <c r="L19" s="273">
        <v>0.16009999999999999</v>
      </c>
      <c r="M19" s="273">
        <v>0.15670000000000001</v>
      </c>
      <c r="N19" s="273">
        <v>0.15670000000000001</v>
      </c>
      <c r="O19" s="273">
        <v>0.15670000000000001</v>
      </c>
      <c r="P19" s="273">
        <v>0.15670000000000001</v>
      </c>
    </row>
    <row r="20" spans="1:16" x14ac:dyDescent="0.2">
      <c r="B20" s="270" t="s">
        <v>115</v>
      </c>
      <c r="C20" s="271" t="e">
        <f>'Cash &amp; Detail'!M371/C11</f>
        <v>#REF!</v>
      </c>
      <c r="D20" s="271" t="e">
        <f>'Cash &amp; Detail'!M418/D11</f>
        <v>#REF!</v>
      </c>
      <c r="E20" s="272" t="e">
        <f>'Cash &amp; Detail'!M461/E11</f>
        <v>#REF!</v>
      </c>
      <c r="F20" s="272" t="e">
        <f>'Cash &amp; Detail'!M500/F11</f>
        <v>#REF!</v>
      </c>
      <c r="G20" s="272" t="e">
        <f>'Cash &amp; Detail'!M535/G11</f>
        <v>#REF!</v>
      </c>
      <c r="H20" s="272" t="e">
        <f>'Cash &amp; Detail'!M566/H11</f>
        <v>#REF!</v>
      </c>
      <c r="I20" s="272" t="e">
        <f>'Cash &amp; Detail'!M593/I11</f>
        <v>#REF!</v>
      </c>
      <c r="J20" s="313" t="e">
        <f>'Cash &amp; Detail'!M616/J11</f>
        <v>#REF!</v>
      </c>
      <c r="K20" s="313" t="e">
        <f>'Cash &amp; Detail'!M635/J11</f>
        <v>#REF!</v>
      </c>
      <c r="L20" s="273">
        <v>7.6799999999999993E-2</v>
      </c>
      <c r="M20" s="273">
        <v>7.3099999999999998E-2</v>
      </c>
      <c r="N20" s="273">
        <v>7.3099999999999998E-2</v>
      </c>
      <c r="O20" s="273">
        <v>7.3099999999999998E-2</v>
      </c>
      <c r="P20" s="273">
        <v>7.3099999999999998E-2</v>
      </c>
    </row>
    <row r="21" spans="1:16" x14ac:dyDescent="0.2">
      <c r="B21" s="270" t="s">
        <v>229</v>
      </c>
      <c r="C21" s="271"/>
      <c r="D21" s="271"/>
      <c r="E21" s="272"/>
      <c r="F21" s="272"/>
      <c r="G21" s="272"/>
      <c r="H21" s="272"/>
      <c r="I21" s="272"/>
      <c r="J21" s="313"/>
      <c r="K21" s="313"/>
      <c r="L21" s="273">
        <v>1.11E-2</v>
      </c>
      <c r="M21" s="273">
        <v>1.11E-2</v>
      </c>
      <c r="N21" s="273">
        <v>1.11E-2</v>
      </c>
      <c r="O21" s="273">
        <v>1.11E-2</v>
      </c>
      <c r="P21" s="273">
        <v>1.11E-2</v>
      </c>
    </row>
    <row r="22" spans="1:16" x14ac:dyDescent="0.2">
      <c r="B22" s="270" t="s">
        <v>114</v>
      </c>
      <c r="C22" s="274" t="e">
        <f>('Cash &amp; Detail'!P371+'Cash &amp; Detail'!R371+'Cash &amp; Detail'!T371-'Cash &amp; Detail'!V371)/C11</f>
        <v>#REF!</v>
      </c>
      <c r="D22" s="274" t="e">
        <f>('Cash &amp; Detail'!P418+'Cash &amp; Detail'!R418+'Cash &amp; Detail'!T418-'Cash &amp; Detail'!V418)/D11</f>
        <v>#REF!</v>
      </c>
      <c r="E22" s="275" t="e">
        <f>('Cash &amp; Detail'!P461+'Cash &amp; Detail'!R461+'Cash &amp; Detail'!T461-'Cash &amp; Detail'!V461)/E11</f>
        <v>#REF!</v>
      </c>
      <c r="F22" s="275" t="e">
        <f>('Cash &amp; Detail'!P500+'Cash &amp; Detail'!R500+'Cash &amp; Detail'!T500-'Cash &amp; Detail'!V500)/F11</f>
        <v>#REF!</v>
      </c>
      <c r="G22" s="275" t="e">
        <f>('Cash &amp; Detail'!P535+'Cash &amp; Detail'!R535+'Cash &amp; Detail'!T535-'Cash &amp; Detail'!V535)/G11</f>
        <v>#REF!</v>
      </c>
      <c r="H22" s="275" t="e">
        <f>('Cash &amp; Detail'!P566+'Cash &amp; Detail'!R566+'Cash &amp; Detail'!T566-'Cash &amp; Detail'!V566)/H11</f>
        <v>#REF!</v>
      </c>
      <c r="I22" s="275" t="e">
        <f>('Cash &amp; Detail'!P593+'Cash &amp; Detail'!R593+'Cash &amp; Detail'!T593-'Cash &amp; Detail'!V593)/I11</f>
        <v>#REF!</v>
      </c>
      <c r="J22" s="314" t="e">
        <f>('Cash &amp; Detail'!P616+'Cash &amp; Detail'!R616+'Cash &amp; Detail'!T616-'Cash &amp; Detail'!V616)/J11</f>
        <v>#REF!</v>
      </c>
      <c r="K22" s="314" t="e">
        <f>('Cash &amp; Detail'!P635+'Cash &amp; Detail'!R635+'Cash &amp; Detail'!T635-'Cash &amp; Detail'!V635)/J11</f>
        <v>#REF!</v>
      </c>
      <c r="L22" s="276">
        <v>0.15989999999999999</v>
      </c>
      <c r="M22" s="276">
        <v>0.15140000000000001</v>
      </c>
      <c r="N22" s="276">
        <v>0.15140000000000001</v>
      </c>
      <c r="O22" s="276">
        <v>0.15140000000000001</v>
      </c>
      <c r="P22" s="276">
        <v>0.15140000000000001</v>
      </c>
    </row>
    <row r="23" spans="1:16" x14ac:dyDescent="0.2">
      <c r="A23" s="256" t="s">
        <v>193</v>
      </c>
      <c r="B23" s="270" t="s">
        <v>192</v>
      </c>
      <c r="C23" s="277" t="e">
        <f t="shared" ref="C23:J23" si="3">SUM(C19:C22)</f>
        <v>#REF!</v>
      </c>
      <c r="D23" s="277" t="e">
        <f t="shared" si="3"/>
        <v>#REF!</v>
      </c>
      <c r="E23" s="277" t="e">
        <f t="shared" si="3"/>
        <v>#REF!</v>
      </c>
      <c r="F23" s="277" t="e">
        <f t="shared" si="3"/>
        <v>#REF!</v>
      </c>
      <c r="G23" s="277" t="e">
        <f t="shared" si="3"/>
        <v>#REF!</v>
      </c>
      <c r="H23" s="277" t="e">
        <f t="shared" si="3"/>
        <v>#REF!</v>
      </c>
      <c r="I23" s="277" t="e">
        <f t="shared" si="3"/>
        <v>#REF!</v>
      </c>
      <c r="J23" s="277" t="e">
        <f t="shared" si="3"/>
        <v>#REF!</v>
      </c>
      <c r="K23" s="277" t="e">
        <f t="shared" ref="K23" si="4">SUM(K19:K22)</f>
        <v>#REF!</v>
      </c>
      <c r="L23" s="277">
        <f>SUM(L19:L22)</f>
        <v>0.40789999999999998</v>
      </c>
      <c r="M23" s="277">
        <f>SUM(M19:M22)</f>
        <v>0.39229999999999998</v>
      </c>
      <c r="N23" s="277">
        <f>SUM(N19:N22)</f>
        <v>0.39229999999999998</v>
      </c>
      <c r="O23" s="277">
        <f>SUM(O19:O22)</f>
        <v>0.39229999999999998</v>
      </c>
      <c r="P23" s="277">
        <f>SUM(P19:P22)</f>
        <v>0.39229999999999998</v>
      </c>
    </row>
    <row r="24" spans="1:16" x14ac:dyDescent="0.2">
      <c r="A24" s="256" t="s">
        <v>194</v>
      </c>
      <c r="B24" s="270" t="s">
        <v>195</v>
      </c>
      <c r="C24" s="277" t="e">
        <f>'Burden Inputs'!#REF!</f>
        <v>#REF!</v>
      </c>
      <c r="D24" s="277" t="e">
        <f>'Burden Inputs'!#REF!</f>
        <v>#REF!</v>
      </c>
      <c r="E24" s="277" t="e">
        <f>'Burden Inputs'!#REF!</f>
        <v>#REF!</v>
      </c>
      <c r="F24" s="277" t="e">
        <f>'Burden Inputs'!#REF!</f>
        <v>#REF!</v>
      </c>
      <c r="G24" s="277" t="e">
        <f>'Burden Inputs'!#REF!</f>
        <v>#REF!</v>
      </c>
      <c r="H24" s="277" t="e">
        <f>'Burden Inputs'!#REF!</f>
        <v>#REF!</v>
      </c>
      <c r="I24" s="277" t="e">
        <f>'Burden Inputs'!#REF!</f>
        <v>#REF!</v>
      </c>
      <c r="J24" s="277" t="e">
        <f>'Burden Inputs'!#REF!</f>
        <v>#REF!</v>
      </c>
      <c r="K24" s="277" t="e">
        <f>'Burden Inputs'!#REF!</f>
        <v>#REF!</v>
      </c>
      <c r="L24" s="277" t="e">
        <f>'Burden Inputs'!#REF!</f>
        <v>#REF!</v>
      </c>
      <c r="M24" s="277">
        <f>'Burden Inputs'!K25</f>
        <v>0.33279999999999998</v>
      </c>
      <c r="N24" s="277">
        <f>'Burden Inputs'!L25</f>
        <v>0</v>
      </c>
      <c r="O24" s="277">
        <f>'Burden Inputs'!M25</f>
        <v>486319765</v>
      </c>
      <c r="P24" s="277">
        <f>'Burden Inputs'!N25</f>
        <v>0</v>
      </c>
    </row>
    <row r="25" spans="1:16" x14ac:dyDescent="0.2">
      <c r="C25" s="278"/>
      <c r="D25" s="262"/>
    </row>
    <row r="26" spans="1:16" x14ac:dyDescent="0.2">
      <c r="B26" s="266" t="s">
        <v>113</v>
      </c>
      <c r="D26" s="262"/>
    </row>
    <row r="27" spans="1:16" x14ac:dyDescent="0.2">
      <c r="A27" s="256" t="s">
        <v>11</v>
      </c>
      <c r="B27" s="264" t="s">
        <v>117</v>
      </c>
      <c r="C27" s="279" t="e">
        <f t="shared" ref="C27:K27" si="5">C11</f>
        <v>#REF!</v>
      </c>
      <c r="D27" s="279" t="e">
        <f t="shared" si="5"/>
        <v>#REF!</v>
      </c>
      <c r="E27" s="279" t="e">
        <f t="shared" si="5"/>
        <v>#REF!</v>
      </c>
      <c r="F27" s="279" t="e">
        <f t="shared" si="5"/>
        <v>#REF!</v>
      </c>
      <c r="G27" s="279" t="e">
        <f t="shared" si="5"/>
        <v>#REF!</v>
      </c>
      <c r="H27" s="279" t="e">
        <f t="shared" si="5"/>
        <v>#REF!</v>
      </c>
      <c r="I27" s="279" t="e">
        <f t="shared" si="5"/>
        <v>#REF!</v>
      </c>
      <c r="J27" s="279" t="e">
        <f t="shared" si="5"/>
        <v>#REF!</v>
      </c>
      <c r="K27" s="279" t="e">
        <f t="shared" si="5"/>
        <v>#REF!</v>
      </c>
      <c r="L27" s="279" t="e">
        <f t="shared" ref="L27:M27" si="6">L11</f>
        <v>#REF!</v>
      </c>
      <c r="M27" s="279">
        <f t="shared" si="6"/>
        <v>121738406</v>
      </c>
      <c r="N27" s="279">
        <f t="shared" ref="N27:P27" si="7">N11</f>
        <v>121200631</v>
      </c>
      <c r="O27" s="279">
        <f t="shared" si="7"/>
        <v>120901493</v>
      </c>
      <c r="P27" s="279">
        <f t="shared" si="7"/>
        <v>103618715</v>
      </c>
    </row>
    <row r="28" spans="1:16" x14ac:dyDescent="0.2">
      <c r="A28" s="256" t="s">
        <v>116</v>
      </c>
      <c r="B28" s="270" t="s">
        <v>121</v>
      </c>
      <c r="C28" s="267" t="e">
        <f t="shared" ref="C28:K28" si="8">ROUND(-C27*C15,0)</f>
        <v>#REF!</v>
      </c>
      <c r="D28" s="267" t="e">
        <f t="shared" si="8"/>
        <v>#REF!</v>
      </c>
      <c r="E28" s="267" t="e">
        <f t="shared" si="8"/>
        <v>#REF!</v>
      </c>
      <c r="F28" s="267" t="e">
        <f t="shared" si="8"/>
        <v>#REF!</v>
      </c>
      <c r="G28" s="267" t="e">
        <f t="shared" si="8"/>
        <v>#REF!</v>
      </c>
      <c r="H28" s="267" t="e">
        <f t="shared" si="8"/>
        <v>#REF!</v>
      </c>
      <c r="I28" s="267" t="e">
        <f t="shared" si="8"/>
        <v>#REF!</v>
      </c>
      <c r="J28" s="267" t="e">
        <f t="shared" si="8"/>
        <v>#REF!</v>
      </c>
      <c r="K28" s="267" t="e">
        <f t="shared" si="8"/>
        <v>#REF!</v>
      </c>
      <c r="L28" s="267" t="e">
        <f t="shared" ref="L28:M28" si="9">ROUND(-L27*L15,0)</f>
        <v>#REF!</v>
      </c>
      <c r="M28" s="267">
        <f t="shared" si="9"/>
        <v>-78643010</v>
      </c>
      <c r="N28" s="267">
        <f t="shared" ref="N28:P28" si="10">ROUND(-N27*N15,0)</f>
        <v>-83628435</v>
      </c>
      <c r="O28" s="267">
        <f t="shared" si="10"/>
        <v>-90676120</v>
      </c>
      <c r="P28" s="267">
        <f t="shared" si="10"/>
        <v>-74605475</v>
      </c>
    </row>
    <row r="29" spans="1:16" x14ac:dyDescent="0.2">
      <c r="A29" s="223" t="s">
        <v>197</v>
      </c>
      <c r="B29" s="270" t="s">
        <v>228</v>
      </c>
      <c r="C29" s="280" t="e">
        <f t="shared" ref="C29:G29" si="11">ROUND(-C27*C24,0)</f>
        <v>#REF!</v>
      </c>
      <c r="D29" s="280" t="e">
        <f t="shared" si="11"/>
        <v>#REF!</v>
      </c>
      <c r="E29" s="280" t="e">
        <f t="shared" si="11"/>
        <v>#REF!</v>
      </c>
      <c r="F29" s="280" t="e">
        <f t="shared" si="11"/>
        <v>#REF!</v>
      </c>
      <c r="G29" s="280" t="e">
        <f t="shared" si="11"/>
        <v>#REF!</v>
      </c>
      <c r="H29" s="280" t="e">
        <f t="shared" ref="H29:M29" si="12">ROUND(-H27*H24,0)</f>
        <v>#REF!</v>
      </c>
      <c r="I29" s="280" t="e">
        <f t="shared" si="12"/>
        <v>#REF!</v>
      </c>
      <c r="J29" s="280" t="e">
        <f t="shared" si="12"/>
        <v>#REF!</v>
      </c>
      <c r="K29" s="280" t="e">
        <f t="shared" si="12"/>
        <v>#REF!</v>
      </c>
      <c r="L29" s="280" t="e">
        <f t="shared" si="12"/>
        <v>#REF!</v>
      </c>
      <c r="M29" s="280">
        <f t="shared" si="12"/>
        <v>-40514542</v>
      </c>
      <c r="N29" s="280">
        <f>ROUND(-N27*N24,0)</f>
        <v>0</v>
      </c>
      <c r="O29" s="280">
        <f t="shared" ref="O29:P29" si="13">ROUND(-O27*O24,0)</f>
        <v>-5.8796785663909104E+16</v>
      </c>
      <c r="P29" s="280">
        <f t="shared" si="13"/>
        <v>0</v>
      </c>
    </row>
    <row r="30" spans="1:16" x14ac:dyDescent="0.2">
      <c r="A30" s="256" t="s">
        <v>14</v>
      </c>
      <c r="B30" s="270" t="s">
        <v>216</v>
      </c>
      <c r="C30" s="279" t="e">
        <f t="shared" ref="C30:H30" si="14">SUM(C27:C29)</f>
        <v>#REF!</v>
      </c>
      <c r="D30" s="279" t="e">
        <f t="shared" si="14"/>
        <v>#REF!</v>
      </c>
      <c r="E30" s="279" t="e">
        <f t="shared" si="14"/>
        <v>#REF!</v>
      </c>
      <c r="F30" s="279" t="e">
        <f t="shared" si="14"/>
        <v>#REF!</v>
      </c>
      <c r="G30" s="279" t="e">
        <f t="shared" si="14"/>
        <v>#REF!</v>
      </c>
      <c r="H30" s="279" t="e">
        <f t="shared" si="14"/>
        <v>#REF!</v>
      </c>
      <c r="I30" s="279" t="e">
        <f t="shared" ref="I30:P30" si="15">SUM(I27:I29)</f>
        <v>#REF!</v>
      </c>
      <c r="J30" s="279" t="e">
        <f t="shared" si="15"/>
        <v>#REF!</v>
      </c>
      <c r="K30" s="279" t="e">
        <f t="shared" si="15"/>
        <v>#REF!</v>
      </c>
      <c r="L30" s="279" t="e">
        <f t="shared" si="15"/>
        <v>#REF!</v>
      </c>
      <c r="M30" s="279">
        <f t="shared" si="15"/>
        <v>2580854</v>
      </c>
      <c r="N30" s="279">
        <f t="shared" si="15"/>
        <v>37572196</v>
      </c>
      <c r="O30" s="279">
        <f t="shared" si="15"/>
        <v>-5.8796785633683728E+16</v>
      </c>
      <c r="P30" s="279">
        <f t="shared" si="15"/>
        <v>29013240</v>
      </c>
    </row>
    <row r="31" spans="1:16" x14ac:dyDescent="0.2">
      <c r="A31" s="256"/>
      <c r="B31" s="270"/>
      <c r="C31" s="279"/>
      <c r="D31" s="279"/>
      <c r="E31" s="279"/>
      <c r="F31" s="279"/>
      <c r="G31" s="279"/>
      <c r="H31" s="279"/>
    </row>
    <row r="32" spans="1:16" x14ac:dyDescent="0.2">
      <c r="B32" s="264" t="s">
        <v>191</v>
      </c>
      <c r="C32" s="279" t="e">
        <f>'Burden Inputs'!#REF!</f>
        <v>#REF!</v>
      </c>
      <c r="D32" s="279" t="e">
        <f>'Burden Inputs'!#REF!</f>
        <v>#REF!</v>
      </c>
      <c r="E32" s="279" t="e">
        <f>'Burden Inputs'!#REF!</f>
        <v>#REF!</v>
      </c>
      <c r="F32" s="279" t="e">
        <f>'Burden Inputs'!#REF!</f>
        <v>#REF!</v>
      </c>
      <c r="G32" s="279" t="e">
        <f>'Burden Inputs'!#REF!</f>
        <v>#REF!</v>
      </c>
      <c r="H32" s="279" t="e">
        <f>'Burden Inputs'!#REF!</f>
        <v>#REF!</v>
      </c>
      <c r="I32" s="281" t="e">
        <f>'Burden Inputs'!#REF!</f>
        <v>#REF!</v>
      </c>
      <c r="J32" s="281" t="e">
        <f>'Burden Inputs'!#REF!</f>
        <v>#REF!</v>
      </c>
      <c r="K32" s="281" t="e">
        <f>'Burden Inputs'!#REF!</f>
        <v>#REF!</v>
      </c>
      <c r="L32" s="281" t="e">
        <f>'Burden Inputs'!#REF!</f>
        <v>#REF!</v>
      </c>
      <c r="M32" s="281">
        <f>'Burden Inputs'!O25</f>
        <v>2577470</v>
      </c>
      <c r="N32" s="281">
        <f>'Burden Inputs'!P25</f>
        <v>0</v>
      </c>
      <c r="O32" s="281">
        <f>'Burden Inputs'!Q25</f>
        <v>0.97310866000717433</v>
      </c>
      <c r="P32" s="281">
        <f>'Burden Inputs'!R25</f>
        <v>0</v>
      </c>
    </row>
    <row r="33" spans="1:16" x14ac:dyDescent="0.2">
      <c r="B33" s="270" t="s">
        <v>226</v>
      </c>
      <c r="C33" s="282" t="e">
        <f t="shared" ref="C33:J33" si="16">(C32-C30)/C32</f>
        <v>#REF!</v>
      </c>
      <c r="D33" s="282" t="e">
        <f t="shared" si="16"/>
        <v>#REF!</v>
      </c>
      <c r="E33" s="282" t="e">
        <f t="shared" si="16"/>
        <v>#REF!</v>
      </c>
      <c r="F33" s="282" t="e">
        <f t="shared" si="16"/>
        <v>#REF!</v>
      </c>
      <c r="G33" s="282" t="e">
        <f t="shared" si="16"/>
        <v>#REF!</v>
      </c>
      <c r="H33" s="282" t="e">
        <f t="shared" si="16"/>
        <v>#REF!</v>
      </c>
      <c r="I33" s="282" t="e">
        <f t="shared" si="16"/>
        <v>#REF!</v>
      </c>
      <c r="J33" s="282" t="e">
        <f t="shared" si="16"/>
        <v>#REF!</v>
      </c>
      <c r="K33" s="282" t="e">
        <f t="shared" ref="K33:P33" si="17">(K32-K30)/K32</f>
        <v>#REF!</v>
      </c>
      <c r="L33" s="282" t="e">
        <f t="shared" si="17"/>
        <v>#REF!</v>
      </c>
      <c r="M33" s="282">
        <f t="shared" si="17"/>
        <v>-1.3129153782585248E-3</v>
      </c>
      <c r="N33" s="282" t="e">
        <f t="shared" si="17"/>
        <v>#DIV/0!</v>
      </c>
      <c r="O33" s="282">
        <f t="shared" si="17"/>
        <v>6.042160351676476E+16</v>
      </c>
      <c r="P33" s="282" t="e">
        <f t="shared" si="17"/>
        <v>#DIV/0!</v>
      </c>
    </row>
    <row r="34" spans="1:16" x14ac:dyDescent="0.2">
      <c r="C34" s="279" t="e">
        <f t="shared" ref="C34:I34" si="18">C30-C32</f>
        <v>#REF!</v>
      </c>
      <c r="D34" s="279" t="e">
        <f t="shared" si="18"/>
        <v>#REF!</v>
      </c>
      <c r="E34" s="279" t="e">
        <f t="shared" si="18"/>
        <v>#REF!</v>
      </c>
      <c r="F34" s="279" t="e">
        <f t="shared" si="18"/>
        <v>#REF!</v>
      </c>
      <c r="G34" s="279" t="e">
        <f t="shared" si="18"/>
        <v>#REF!</v>
      </c>
      <c r="H34" s="279" t="e">
        <f t="shared" si="18"/>
        <v>#REF!</v>
      </c>
      <c r="I34" s="279" t="e">
        <f t="shared" si="18"/>
        <v>#REF!</v>
      </c>
      <c r="J34" s="279" t="e">
        <f>J30-J32</f>
        <v>#REF!</v>
      </c>
      <c r="K34" s="279" t="e">
        <f t="shared" ref="K34:L34" si="19">K30-K32</f>
        <v>#REF!</v>
      </c>
      <c r="L34" s="279" t="e">
        <f t="shared" si="19"/>
        <v>#REF!</v>
      </c>
      <c r="M34" s="279">
        <f t="shared" ref="M34:N34" si="20">M30-M32</f>
        <v>3384</v>
      </c>
      <c r="N34" s="279">
        <f t="shared" si="20"/>
        <v>37572196</v>
      </c>
      <c r="O34" s="279">
        <f t="shared" ref="O34:P34" si="21">O30-O32</f>
        <v>-5.8796785633683728E+16</v>
      </c>
      <c r="P34" s="279">
        <f t="shared" si="21"/>
        <v>29013240</v>
      </c>
    </row>
    <row r="35" spans="1:16" x14ac:dyDescent="0.2">
      <c r="C35" s="283"/>
      <c r="D35" s="283"/>
    </row>
    <row r="36" spans="1:16" x14ac:dyDescent="0.2">
      <c r="B36" s="220" t="s">
        <v>120</v>
      </c>
    </row>
    <row r="37" spans="1:16" x14ac:dyDescent="0.2">
      <c r="A37" s="256" t="s">
        <v>11</v>
      </c>
      <c r="B37" s="264" t="s">
        <v>117</v>
      </c>
      <c r="C37" s="279" t="e">
        <f t="shared" ref="C37:K37" si="22">C11</f>
        <v>#REF!</v>
      </c>
      <c r="D37" s="279" t="e">
        <f t="shared" si="22"/>
        <v>#REF!</v>
      </c>
      <c r="E37" s="279" t="e">
        <f t="shared" si="22"/>
        <v>#REF!</v>
      </c>
      <c r="F37" s="279" t="e">
        <f t="shared" si="22"/>
        <v>#REF!</v>
      </c>
      <c r="G37" s="279" t="e">
        <f t="shared" si="22"/>
        <v>#REF!</v>
      </c>
      <c r="H37" s="279" t="e">
        <f t="shared" si="22"/>
        <v>#REF!</v>
      </c>
      <c r="I37" s="279" t="e">
        <f t="shared" si="22"/>
        <v>#REF!</v>
      </c>
      <c r="J37" s="279" t="e">
        <f t="shared" si="22"/>
        <v>#REF!</v>
      </c>
      <c r="K37" s="279" t="e">
        <f t="shared" si="22"/>
        <v>#REF!</v>
      </c>
      <c r="L37" s="279" t="e">
        <f t="shared" ref="L37:M37" si="23">L11</f>
        <v>#REF!</v>
      </c>
      <c r="M37" s="279">
        <f t="shared" si="23"/>
        <v>121738406</v>
      </c>
      <c r="N37" s="279">
        <f t="shared" ref="N37:P37" si="24">N11</f>
        <v>121200631</v>
      </c>
      <c r="O37" s="279">
        <f t="shared" si="24"/>
        <v>120901493</v>
      </c>
      <c r="P37" s="279">
        <f t="shared" si="24"/>
        <v>103618715</v>
      </c>
    </row>
    <row r="38" spans="1:16" x14ac:dyDescent="0.2">
      <c r="A38" s="256" t="s">
        <v>15</v>
      </c>
      <c r="B38" s="264" t="s">
        <v>111</v>
      </c>
      <c r="C38" s="267" t="e">
        <f>'Burden Inputs'!#REF!</f>
        <v>#REF!</v>
      </c>
      <c r="D38" s="267" t="e">
        <f>'Burden Inputs'!#REF!</f>
        <v>#REF!</v>
      </c>
      <c r="E38" s="267" t="e">
        <f>'Burden Inputs'!#REF!</f>
        <v>#REF!</v>
      </c>
      <c r="F38" s="267" t="e">
        <f>'Burden Inputs'!#REF!</f>
        <v>#REF!</v>
      </c>
      <c r="G38" s="267" t="e">
        <f>'Burden Inputs'!#REF!</f>
        <v>#REF!</v>
      </c>
      <c r="H38" s="267" t="e">
        <f>'Burden Inputs'!#REF!</f>
        <v>#REF!</v>
      </c>
      <c r="I38" s="267" t="e">
        <f>'Burden Inputs'!#REF!</f>
        <v>#REF!</v>
      </c>
      <c r="J38" s="267" t="e">
        <f>'Burden Inputs'!#REF!</f>
        <v>#REF!</v>
      </c>
      <c r="K38" s="267" t="e">
        <f>'Burden Inputs'!#REF!</f>
        <v>#REF!</v>
      </c>
      <c r="L38" s="267" t="e">
        <f>'Burden Inputs'!#REF!</f>
        <v>#REF!</v>
      </c>
      <c r="M38" s="267">
        <f>'Burden Inputs'!M25</f>
        <v>486319765</v>
      </c>
      <c r="N38" s="267">
        <f>'Burden Inputs'!N25</f>
        <v>0</v>
      </c>
      <c r="O38" s="267">
        <f>'Burden Inputs'!O25</f>
        <v>2577470</v>
      </c>
      <c r="P38" s="267">
        <f>'Burden Inputs'!P25</f>
        <v>0</v>
      </c>
    </row>
    <row r="39" spans="1:16" x14ac:dyDescent="0.2">
      <c r="A39" s="256" t="s">
        <v>16</v>
      </c>
      <c r="B39" s="264" t="s">
        <v>78</v>
      </c>
      <c r="C39" s="284" t="e">
        <f>'Burden Inputs'!#REF!</f>
        <v>#REF!</v>
      </c>
      <c r="D39" s="284" t="e">
        <f>'Burden Inputs'!#REF!</f>
        <v>#REF!</v>
      </c>
      <c r="E39" s="284" t="e">
        <f>'Burden Inputs'!#REF!</f>
        <v>#REF!</v>
      </c>
      <c r="F39" s="284" t="e">
        <f>'Burden Inputs'!#REF!</f>
        <v>#REF!</v>
      </c>
      <c r="G39" s="284" t="e">
        <f>'Burden Inputs'!#REF!</f>
        <v>#REF!</v>
      </c>
      <c r="H39" s="284" t="e">
        <f>'Burden Inputs'!#REF!</f>
        <v>#REF!</v>
      </c>
      <c r="I39" s="284" t="e">
        <f>'Burden Inputs'!#REF!</f>
        <v>#REF!</v>
      </c>
      <c r="J39" s="284" t="e">
        <f>'Burden Inputs'!#REF!</f>
        <v>#REF!</v>
      </c>
      <c r="K39" s="284" t="e">
        <f>'Burden Inputs'!#REF!</f>
        <v>#REF!</v>
      </c>
      <c r="L39" s="284" t="e">
        <f>'Burden Inputs'!#REF!</f>
        <v>#REF!</v>
      </c>
      <c r="M39" s="284">
        <f>'Burden Inputs'!Q25</f>
        <v>0.97310866000717433</v>
      </c>
      <c r="N39" s="284">
        <f>'Burden Inputs'!R25</f>
        <v>0</v>
      </c>
      <c r="O39" s="284" t="str">
        <f>'Burden Inputs'!S25</f>
        <v>Final 2016</v>
      </c>
      <c r="P39" s="284">
        <f>'Burden Inputs'!T25</f>
        <v>0</v>
      </c>
    </row>
    <row r="40" spans="1:16" x14ac:dyDescent="0.2">
      <c r="C40" s="284"/>
      <c r="D40" s="284"/>
      <c r="E40" s="284"/>
      <c r="F40" s="284"/>
      <c r="G40" s="284"/>
      <c r="H40" s="284"/>
    </row>
    <row r="41" spans="1:16" s="220" customFormat="1" x14ac:dyDescent="0.2">
      <c r="B41" s="243" t="s">
        <v>198</v>
      </c>
      <c r="C41" s="285" t="e">
        <f t="shared" ref="C41:K41" si="25">ROUND((C37/C38*C39)*(C15+C24-1),4)</f>
        <v>#REF!</v>
      </c>
      <c r="D41" s="285" t="e">
        <f t="shared" si="25"/>
        <v>#REF!</v>
      </c>
      <c r="E41" s="285" t="e">
        <f t="shared" si="25"/>
        <v>#REF!</v>
      </c>
      <c r="F41" s="285" t="e">
        <f t="shared" si="25"/>
        <v>#REF!</v>
      </c>
      <c r="G41" s="285" t="e">
        <f t="shared" si="25"/>
        <v>#REF!</v>
      </c>
      <c r="H41" s="285" t="e">
        <f t="shared" si="25"/>
        <v>#REF!</v>
      </c>
      <c r="I41" s="285" t="e">
        <f t="shared" si="25"/>
        <v>#REF!</v>
      </c>
      <c r="J41" s="285" t="e">
        <f t="shared" si="25"/>
        <v>#REF!</v>
      </c>
      <c r="K41" s="285" t="e">
        <f t="shared" si="25"/>
        <v>#REF!</v>
      </c>
      <c r="L41" s="285" t="e">
        <f>ROUND((L37/L38*L39)*(L15+L24-1),4)</f>
        <v>#REF!</v>
      </c>
      <c r="M41" s="285">
        <f>ROUND((M37/M38*M39)*(M15+M24-1),4)</f>
        <v>-5.1999999999999998E-3</v>
      </c>
      <c r="N41" s="285" t="e">
        <f>ROUND((N37/N38*N39)*(N15+N24-1),4)</f>
        <v>#DIV/0!</v>
      </c>
      <c r="O41" s="285" t="e">
        <f>ROUND((O37/O38*O39)*(O15+O24-1),4)</f>
        <v>#VALUE!</v>
      </c>
      <c r="P41" s="285" t="e">
        <f>ROUND((P37/P38*P39)*(P15+P24-1),4)</f>
        <v>#DIV/0!</v>
      </c>
    </row>
    <row r="42" spans="1:16" hidden="1" x14ac:dyDescent="0.2">
      <c r="A42" s="221"/>
    </row>
    <row r="43" spans="1:16" hidden="1" x14ac:dyDescent="0.2"/>
    <row r="44" spans="1:16" hidden="1" x14ac:dyDescent="0.2"/>
    <row r="45" spans="1:16" hidden="1" x14ac:dyDescent="0.2">
      <c r="A45" s="221"/>
    </row>
    <row r="46" spans="1:16" hidden="1" x14ac:dyDescent="0.2">
      <c r="A46" s="221"/>
      <c r="B46" s="221"/>
    </row>
    <row r="47" spans="1:16" s="223" customFormat="1" x14ac:dyDescent="0.2">
      <c r="B47" s="286"/>
      <c r="C47" s="223" t="s">
        <v>196</v>
      </c>
      <c r="D47" s="223" t="s">
        <v>196</v>
      </c>
      <c r="E47" s="223" t="s">
        <v>196</v>
      </c>
      <c r="F47" s="223" t="s">
        <v>196</v>
      </c>
      <c r="G47" s="223" t="s">
        <v>196</v>
      </c>
      <c r="H47" s="223" t="s">
        <v>196</v>
      </c>
      <c r="I47" s="223" t="s">
        <v>196</v>
      </c>
      <c r="J47" s="223" t="s">
        <v>196</v>
      </c>
      <c r="K47" s="223" t="s">
        <v>196</v>
      </c>
      <c r="L47" s="223" t="s">
        <v>196</v>
      </c>
      <c r="M47" s="223" t="s">
        <v>196</v>
      </c>
      <c r="N47" s="223" t="s">
        <v>196</v>
      </c>
      <c r="O47" s="223" t="s">
        <v>196</v>
      </c>
      <c r="P47" s="223" t="s">
        <v>196</v>
      </c>
    </row>
  </sheetData>
  <mergeCells count="3">
    <mergeCell ref="C18:D18"/>
    <mergeCell ref="C2:J2"/>
    <mergeCell ref="E18:M18"/>
  </mergeCells>
  <phoneticPr fontId="4" type="noConversion"/>
  <pageMargins left="0.25" right="0.25" top="0.25" bottom="0.25" header="0.5" footer="0.5"/>
  <pageSetup scale="10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2"/>
    <pageSetUpPr fitToPage="1"/>
  </sheetPr>
  <dimension ref="A1:Q49"/>
  <sheetViews>
    <sheetView workbookViewId="0">
      <selection sqref="A1:N1"/>
    </sheetView>
  </sheetViews>
  <sheetFormatPr defaultColWidth="9.140625" defaultRowHeight="12.75" x14ac:dyDescent="0.2"/>
  <cols>
    <col min="1" max="1" width="31.140625" style="85" bestFit="1" customWidth="1"/>
    <col min="2" max="2" width="11.5703125" style="85" hidden="1" customWidth="1"/>
    <col min="3" max="3" width="11.140625" style="85" hidden="1" customWidth="1"/>
    <col min="4" max="7" width="13" style="85" hidden="1" customWidth="1"/>
    <col min="8" max="8" width="13" style="85" customWidth="1"/>
    <col min="9" max="12" width="13" style="85" bestFit="1" customWidth="1"/>
    <col min="13" max="15" width="13" style="85" customWidth="1"/>
    <col min="16" max="17" width="13" style="85" bestFit="1" customWidth="1"/>
    <col min="18" max="16384" width="9.140625" style="85"/>
  </cols>
  <sheetData>
    <row r="1" spans="1:17" ht="18.75" x14ac:dyDescent="0.3">
      <c r="A1" s="441" t="s">
        <v>179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</row>
    <row r="2" spans="1:17" ht="18.75" x14ac:dyDescent="0.3">
      <c r="A2" s="441" t="s">
        <v>260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</row>
    <row r="4" spans="1:17" s="167" customFormat="1" ht="15" x14ac:dyDescent="0.25">
      <c r="A4" s="169"/>
      <c r="B4" s="169" t="s">
        <v>122</v>
      </c>
      <c r="C4" s="169" t="s">
        <v>123</v>
      </c>
      <c r="D4" s="215" t="s">
        <v>124</v>
      </c>
      <c r="E4" s="215" t="s">
        <v>126</v>
      </c>
      <c r="F4" s="215" t="s">
        <v>127</v>
      </c>
      <c r="G4" s="215" t="s">
        <v>128</v>
      </c>
      <c r="H4" s="215" t="s">
        <v>129</v>
      </c>
      <c r="I4" s="215" t="s">
        <v>130</v>
      </c>
      <c r="J4" s="215" t="s">
        <v>182</v>
      </c>
      <c r="K4" s="215" t="s">
        <v>199</v>
      </c>
      <c r="L4" s="215" t="s">
        <v>208</v>
      </c>
      <c r="M4" s="215" t="s">
        <v>214</v>
      </c>
      <c r="N4" s="215" t="s">
        <v>223</v>
      </c>
      <c r="O4" s="215" t="s">
        <v>233</v>
      </c>
      <c r="P4" s="215" t="s">
        <v>241</v>
      </c>
      <c r="Q4" s="215" t="s">
        <v>256</v>
      </c>
    </row>
    <row r="5" spans="1:17" x14ac:dyDescent="0.2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</row>
    <row r="6" spans="1:17" ht="15" x14ac:dyDescent="0.25">
      <c r="A6" s="216" t="s">
        <v>131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</row>
    <row r="7" spans="1:17" x14ac:dyDescent="0.2">
      <c r="A7" s="170" t="s">
        <v>209</v>
      </c>
      <c r="B7" s="173" t="e">
        <f>'Burden Inputs'!#REF!</f>
        <v>#REF!</v>
      </c>
      <c r="C7" s="173" t="e">
        <f>'Burden Inputs'!#REF!</f>
        <v>#REF!</v>
      </c>
      <c r="D7" s="173" t="e">
        <f>'Burden Inputs'!#REF!</f>
        <v>#REF!</v>
      </c>
      <c r="E7" s="173" t="e">
        <f>'Burden Inputs'!#REF!</f>
        <v>#REF!</v>
      </c>
      <c r="F7" s="173" t="e">
        <f>'Burden Inputs'!#REF!</f>
        <v>#REF!</v>
      </c>
      <c r="G7" s="173" t="e">
        <f>'Burden Inputs'!#REF!</f>
        <v>#REF!</v>
      </c>
      <c r="H7" s="173" t="e">
        <f>'Burden Inputs'!#REF!</f>
        <v>#REF!</v>
      </c>
      <c r="I7" s="175" t="e">
        <f>'Burden Inputs'!#REF!</f>
        <v>#REF!</v>
      </c>
      <c r="J7" s="175" t="e">
        <f>'Burden Inputs'!#REF!</f>
        <v>#REF!</v>
      </c>
      <c r="K7" s="175" t="e">
        <f>'Burden Inputs'!#REF!</f>
        <v>#REF!</v>
      </c>
      <c r="L7" s="175" t="e">
        <f>'Burden Inputs'!#REF!</f>
        <v>#REF!</v>
      </c>
      <c r="M7" s="175" t="e">
        <f>'Burden Inputs'!#REF!</f>
        <v>#REF!</v>
      </c>
      <c r="N7" s="175" t="e">
        <f>'Burden Inputs'!#REF!</f>
        <v>#REF!</v>
      </c>
      <c r="O7" s="175" t="e">
        <f>'Burden Inputs'!#REF!</f>
        <v>#REF!</v>
      </c>
      <c r="P7" s="175">
        <f>'Burden Inputs'!$E25</f>
        <v>121738406</v>
      </c>
      <c r="Q7" s="175">
        <f>'Burden Inputs'!$E24</f>
        <v>121200631</v>
      </c>
    </row>
    <row r="8" spans="1:17" x14ac:dyDescent="0.2">
      <c r="A8" s="176" t="s">
        <v>132</v>
      </c>
      <c r="B8" s="176" t="e">
        <f>IF(ISBLANK('Burden Inputs'!#REF!),"",'Burden Inputs'!#REF!)</f>
        <v>#REF!</v>
      </c>
      <c r="C8" s="176" t="e">
        <f>IF(ISBLANK('Burden Inputs'!#REF!),"",'Burden Inputs'!#REF!)</f>
        <v>#REF!</v>
      </c>
      <c r="D8" s="176" t="e">
        <f>IF(ISBLANK('Burden Inputs'!#REF!),"",'Burden Inputs'!#REF!)</f>
        <v>#REF!</v>
      </c>
      <c r="E8" s="176" t="e">
        <f>IF(ISBLANK('Burden Inputs'!#REF!),"",'Burden Inputs'!#REF!)</f>
        <v>#REF!</v>
      </c>
      <c r="F8" s="176" t="e">
        <f>IF(ISBLANK('Burden Inputs'!#REF!),"",'Burden Inputs'!#REF!)</f>
        <v>#REF!</v>
      </c>
      <c r="G8" s="176" t="e">
        <f>IF(ISBLANK('Burden Inputs'!#REF!),"",'Burden Inputs'!#REF!)</f>
        <v>#REF!</v>
      </c>
      <c r="H8" s="176"/>
      <c r="I8" s="177" t="e">
        <f>IF(ISBLANK('Burden Inputs'!#REF!),"",'Burden Inputs'!#REF!)</f>
        <v>#REF!</v>
      </c>
      <c r="J8" s="177" t="e">
        <f>IF(ISBLANK('Burden Inputs'!#REF!),"",'Burden Inputs'!#REF!)</f>
        <v>#REF!</v>
      </c>
      <c r="K8" s="177" t="e">
        <f>IF(ISBLANK('Burden Inputs'!#REF!),"",'Burden Inputs'!#REF!)</f>
        <v>#REF!</v>
      </c>
      <c r="L8" s="177" t="e">
        <f>IF(ISBLANK('Burden Inputs'!#REF!),"",'Burden Inputs'!#REF!)</f>
        <v>#REF!</v>
      </c>
      <c r="M8" s="177" t="e">
        <f>IF(ISBLANK('Burden Inputs'!#REF!),"",'Burden Inputs'!#REF!)</f>
        <v>#REF!</v>
      </c>
      <c r="N8" s="177" t="e">
        <f>IF(ISBLANK('Burden Inputs'!#REF!),"",'Burden Inputs'!#REF!)</f>
        <v>#REF!</v>
      </c>
      <c r="O8" s="177" t="str">
        <f>IF(ISBLANK('Burden Inputs'!$G25),"",'Burden Inputs'!$G25)</f>
        <v/>
      </c>
      <c r="P8" s="177" t="str">
        <f>IF(ISBLANK('Burden Inputs'!$G24),"",'Burden Inputs'!$G24)</f>
        <v/>
      </c>
      <c r="Q8" s="177" t="str">
        <f>IF(ISBLANK('Burden Inputs'!$G23),"",'Burden Inputs'!$G23)</f>
        <v/>
      </c>
    </row>
    <row r="9" spans="1:17" s="180" customFormat="1" x14ac:dyDescent="0.2">
      <c r="A9" s="178" t="s">
        <v>160</v>
      </c>
      <c r="B9" s="179" t="e">
        <f>IF((B8=""),B7,B8*B7)</f>
        <v>#REF!</v>
      </c>
      <c r="C9" s="179" t="e">
        <f t="shared" ref="C9:E9" si="0">IF((C8=""),C7,C8*C7)</f>
        <v>#REF!</v>
      </c>
      <c r="D9" s="179" t="e">
        <f t="shared" si="0"/>
        <v>#REF!</v>
      </c>
      <c r="E9" s="179" t="e">
        <f t="shared" si="0"/>
        <v>#REF!</v>
      </c>
      <c r="F9" s="173" t="e">
        <f>'Burden Inputs'!#REF!</f>
        <v>#REF!</v>
      </c>
      <c r="G9" s="173" t="e">
        <f>'Burden Inputs'!#REF!</f>
        <v>#REF!</v>
      </c>
      <c r="H9" s="173" t="e">
        <f>'Burden Inputs'!#REF!</f>
        <v>#REF!</v>
      </c>
      <c r="I9" s="175" t="e">
        <f>'Burden Inputs'!#REF!</f>
        <v>#REF!</v>
      </c>
      <c r="J9" s="175" t="e">
        <f>'Burden Inputs'!#REF!</f>
        <v>#REF!</v>
      </c>
      <c r="K9" s="175" t="e">
        <f>'Burden Inputs'!#REF!</f>
        <v>#REF!</v>
      </c>
      <c r="L9" s="175" t="e">
        <f>'Burden Inputs'!#REF!</f>
        <v>#REF!</v>
      </c>
      <c r="M9" s="175" t="e">
        <f>'Burden Inputs'!#REF!</f>
        <v>#REF!</v>
      </c>
      <c r="N9" s="175" t="e">
        <f>'Burden Inputs'!#REF!</f>
        <v>#REF!</v>
      </c>
      <c r="O9" s="175" t="e">
        <f>'Burden Inputs'!#REF!</f>
        <v>#REF!</v>
      </c>
      <c r="P9" s="175">
        <f>'Burden Inputs'!$I25</f>
        <v>121738406</v>
      </c>
      <c r="Q9" s="175">
        <f>'Burden Inputs'!$I24</f>
        <v>121200631</v>
      </c>
    </row>
    <row r="10" spans="1:17" x14ac:dyDescent="0.2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</row>
    <row r="11" spans="1:17" ht="15" x14ac:dyDescent="0.25">
      <c r="A11" s="216" t="s">
        <v>133</v>
      </c>
      <c r="B11" s="170"/>
      <c r="C11" s="170"/>
      <c r="D11" s="170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</row>
    <row r="12" spans="1:17" s="182" customFormat="1" hidden="1" x14ac:dyDescent="0.2">
      <c r="A12" s="171" t="s">
        <v>134</v>
      </c>
      <c r="B12" s="181">
        <f>'Cash &amp; Detail'!$H64</f>
        <v>36818573.560000017</v>
      </c>
      <c r="C12" s="181">
        <f>'Cash &amp; Detail'!H122</f>
        <v>15938850.640000002</v>
      </c>
      <c r="D12" s="181">
        <f>'Cash &amp; Detail'!$H226</f>
        <v>8238539.8600000003</v>
      </c>
      <c r="E12" s="181">
        <f>'Cash &amp; Detail'!$H324</f>
        <v>22423147.040000007</v>
      </c>
      <c r="F12" s="181">
        <f>'Cash &amp; Detail'!$H371</f>
        <v>35108465.23999998</v>
      </c>
      <c r="G12" s="181">
        <f>'Cash &amp; Detail'!H418</f>
        <v>45227016.690000005</v>
      </c>
      <c r="H12" s="181">
        <f>'Cash &amp; Detail'!H461</f>
        <v>54315704.559999987</v>
      </c>
      <c r="I12" s="181">
        <f>'Cash &amp; Detail'!H500</f>
        <v>45940452.70000001</v>
      </c>
      <c r="J12" s="181">
        <f>'Cash &amp; Detail'!H535</f>
        <v>36649841.120000005</v>
      </c>
      <c r="K12" s="181">
        <f>'Cash &amp; Detail'!H566</f>
        <v>34326953.579999998</v>
      </c>
      <c r="L12" s="181">
        <f>'Cash &amp; Detail'!H593</f>
        <v>23133865.979999997</v>
      </c>
      <c r="M12" s="181">
        <f>'Cash &amp; Detail'!H616</f>
        <v>17893530.690000001</v>
      </c>
      <c r="N12" s="181">
        <f>'Cash &amp; Detail'!H635</f>
        <v>16823567.780000001</v>
      </c>
      <c r="O12" s="181">
        <f>'Cash &amp; Detail'!H650</f>
        <v>16548851.17</v>
      </c>
      <c r="P12" s="181">
        <f>'Cash &amp; Detail'!H661</f>
        <v>16341570.9</v>
      </c>
      <c r="Q12" s="181">
        <f>'Cash &amp; Detail'!I661</f>
        <v>0</v>
      </c>
    </row>
    <row r="13" spans="1:17" s="182" customFormat="1" hidden="1" x14ac:dyDescent="0.2">
      <c r="A13" s="171" t="s">
        <v>210</v>
      </c>
      <c r="B13" s="181"/>
      <c r="C13" s="181"/>
      <c r="D13" s="181">
        <f>'Cash &amp; Detail'!F226</f>
        <v>0</v>
      </c>
      <c r="E13" s="181">
        <f>'Cash &amp; Detail'!F324</f>
        <v>0</v>
      </c>
      <c r="F13" s="181">
        <f>'Cash &amp; Detail'!F371</f>
        <v>0</v>
      </c>
      <c r="G13" s="181">
        <f>'Cash &amp; Detail'!F418</f>
        <v>0</v>
      </c>
      <c r="H13" s="181">
        <f>'Cash &amp; Detail'!F461</f>
        <v>0</v>
      </c>
      <c r="I13" s="181">
        <f>'Cash &amp; Detail'!F500</f>
        <v>0</v>
      </c>
      <c r="J13" s="181">
        <f>'Cash &amp; Detail'!F535</f>
        <v>0</v>
      </c>
      <c r="K13" s="181">
        <f>'Cash &amp; Detail'!F566</f>
        <v>0</v>
      </c>
      <c r="L13" s="181">
        <f>'Cash &amp; Detail'!F593</f>
        <v>0</v>
      </c>
      <c r="M13" s="181">
        <f>'Cash &amp; Detail'!F593</f>
        <v>0</v>
      </c>
      <c r="N13" s="181">
        <f>'Cash &amp; Detail'!F635</f>
        <v>0</v>
      </c>
      <c r="O13" s="181">
        <f>'Cash &amp; Detail'!F650</f>
        <v>0</v>
      </c>
      <c r="P13" s="181">
        <f>'Cash &amp; Detail'!F661</f>
        <v>8740740.7200000007</v>
      </c>
      <c r="Q13" s="181">
        <f>'Cash &amp; Detail'!G661</f>
        <v>78889498.01000002</v>
      </c>
    </row>
    <row r="14" spans="1:17" s="182" customFormat="1" hidden="1" x14ac:dyDescent="0.2">
      <c r="A14" s="171" t="s">
        <v>159</v>
      </c>
      <c r="B14" s="183" t="e">
        <f>B12/B9</f>
        <v>#REF!</v>
      </c>
      <c r="C14" s="184" t="e">
        <f>C12/C9</f>
        <v>#REF!</v>
      </c>
      <c r="D14" s="245" t="e">
        <f>(D12+D13)/D9</f>
        <v>#REF!</v>
      </c>
      <c r="E14" s="245" t="e">
        <f t="shared" ref="E14:K14" si="1">(E12+E13)/E9</f>
        <v>#REF!</v>
      </c>
      <c r="F14" s="245" t="e">
        <f t="shared" si="1"/>
        <v>#REF!</v>
      </c>
      <c r="G14" s="245" t="e">
        <f t="shared" si="1"/>
        <v>#REF!</v>
      </c>
      <c r="H14" s="245" t="e">
        <f t="shared" si="1"/>
        <v>#REF!</v>
      </c>
      <c r="I14" s="245" t="e">
        <f t="shared" si="1"/>
        <v>#REF!</v>
      </c>
      <c r="J14" s="245" t="e">
        <f t="shared" si="1"/>
        <v>#REF!</v>
      </c>
      <c r="K14" s="245" t="e">
        <f t="shared" si="1"/>
        <v>#REF!</v>
      </c>
      <c r="L14" s="245" t="e">
        <f t="shared" ref="L14:Q14" si="2">(L12+L13)/L9</f>
        <v>#REF!</v>
      </c>
      <c r="M14" s="245" t="e">
        <f t="shared" si="2"/>
        <v>#REF!</v>
      </c>
      <c r="N14" s="245" t="e">
        <f t="shared" si="2"/>
        <v>#REF!</v>
      </c>
      <c r="O14" s="245" t="e">
        <f t="shared" si="2"/>
        <v>#REF!</v>
      </c>
      <c r="P14" s="245">
        <f t="shared" si="2"/>
        <v>0.20603450007387153</v>
      </c>
      <c r="Q14" s="245">
        <f t="shared" si="2"/>
        <v>0.65090006016552848</v>
      </c>
    </row>
    <row r="15" spans="1:17" s="187" customFormat="1" x14ac:dyDescent="0.2">
      <c r="A15" s="185" t="s">
        <v>108</v>
      </c>
      <c r="B15" s="186" t="e">
        <f>'Burden Inputs'!#REF!</f>
        <v>#REF!</v>
      </c>
      <c r="C15" s="186" t="e">
        <f>'Burden Inputs'!#REF!</f>
        <v>#REF!</v>
      </c>
      <c r="D15" s="246" t="e">
        <f>'Burden Inputs'!#REF!</f>
        <v>#REF!</v>
      </c>
      <c r="E15" s="246" t="e">
        <f>'Burden Inputs'!#REF!</f>
        <v>#REF!</v>
      </c>
      <c r="F15" s="246" t="e">
        <f>'Burden Inputs'!#REF!</f>
        <v>#REF!</v>
      </c>
      <c r="G15" s="246" t="e">
        <f>'Burden Inputs'!#REF!</f>
        <v>#REF!</v>
      </c>
      <c r="H15" s="246" t="e">
        <f>'Burden Inputs'!#REF!</f>
        <v>#REF!</v>
      </c>
      <c r="I15" s="246" t="e">
        <f>'Burden Inputs'!#REF!</f>
        <v>#REF!</v>
      </c>
      <c r="J15" s="246" t="e">
        <f>'Burden Inputs'!#REF!</f>
        <v>#REF!</v>
      </c>
      <c r="K15" s="246" t="e">
        <f>'Burden Inputs'!#REF!</f>
        <v>#REF!</v>
      </c>
      <c r="L15" s="246" t="e">
        <f>'Burden Inputs'!#REF!</f>
        <v>#REF!</v>
      </c>
      <c r="M15" s="246" t="e">
        <f>'Burden Inputs'!#REF!</f>
        <v>#REF!</v>
      </c>
      <c r="N15" s="246" t="e">
        <f>'Burden Inputs'!#REF!</f>
        <v>#REF!</v>
      </c>
      <c r="O15" s="246" t="e">
        <f>'Burden Inputs'!#REF!</f>
        <v>#REF!</v>
      </c>
      <c r="P15" s="246">
        <f>'Burden Inputs'!$C25</f>
        <v>0.64600000000000002</v>
      </c>
      <c r="Q15" s="246">
        <f>'Burden Inputs'!$C24</f>
        <v>0.69</v>
      </c>
    </row>
    <row r="16" spans="1:17" s="190" customFormat="1" x14ac:dyDescent="0.2">
      <c r="A16" s="188" t="s">
        <v>110</v>
      </c>
      <c r="B16" s="189" t="e">
        <f>'Burden Inputs'!#REF!</f>
        <v>#REF!</v>
      </c>
      <c r="C16" s="189" t="e">
        <f>'Burden Inputs'!#REF!</f>
        <v>#REF!</v>
      </c>
      <c r="D16" s="189" t="e">
        <f>'Burden Inputs'!#REF!</f>
        <v>#REF!</v>
      </c>
      <c r="E16" s="189" t="e">
        <f>'Burden Inputs'!#REF!</f>
        <v>#REF!</v>
      </c>
      <c r="F16" s="189" t="e">
        <f>'Burden Inputs'!#REF!</f>
        <v>#REF!</v>
      </c>
      <c r="G16" s="189" t="e">
        <f>'Burden Inputs'!#REF!</f>
        <v>#REF!</v>
      </c>
      <c r="H16" s="189" t="e">
        <f>'Burden Inputs'!#REF!</f>
        <v>#REF!</v>
      </c>
      <c r="I16" s="189" t="e">
        <f>'Burden Inputs'!#REF!</f>
        <v>#REF!</v>
      </c>
      <c r="J16" s="189" t="e">
        <f>'Burden Inputs'!#REF!</f>
        <v>#REF!</v>
      </c>
      <c r="K16" s="189" t="e">
        <f>'Burden Inputs'!#REF!</f>
        <v>#REF!</v>
      </c>
      <c r="L16" s="189" t="e">
        <f>'Burden Inputs'!#REF!</f>
        <v>#REF!</v>
      </c>
      <c r="M16" s="189" t="e">
        <f>'Burden Inputs'!#REF!</f>
        <v>#REF!</v>
      </c>
      <c r="N16" s="189" t="e">
        <f>'Burden Inputs'!#REF!</f>
        <v>#REF!</v>
      </c>
      <c r="O16" s="189" t="e">
        <f>'Burden Inputs'!#REF!</f>
        <v>#REF!</v>
      </c>
      <c r="P16" s="189">
        <f>'Burden Inputs'!C25</f>
        <v>0.64600000000000002</v>
      </c>
      <c r="Q16" s="189">
        <f>'Burden Inputs'!C24</f>
        <v>0.69</v>
      </c>
    </row>
    <row r="18" spans="1:17" s="182" customFormat="1" ht="15" x14ac:dyDescent="0.25">
      <c r="A18" s="217" t="s">
        <v>135</v>
      </c>
      <c r="B18" s="191"/>
      <c r="C18" s="191"/>
      <c r="D18" s="191"/>
      <c r="E18" s="191"/>
      <c r="F18" s="191"/>
      <c r="G18" s="191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1:17" s="182" customFormat="1" hidden="1" x14ac:dyDescent="0.2">
      <c r="A19" s="171" t="s">
        <v>141</v>
      </c>
      <c r="B19" s="174">
        <f>'Cash &amp; Detail'!$J64</f>
        <v>19710890.160000008</v>
      </c>
      <c r="C19" s="174">
        <f>'Cash &amp; Detail'!$J122</f>
        <v>9148701.679999996</v>
      </c>
      <c r="D19" s="174">
        <f>'Cash &amp; Detail'!$K226</f>
        <v>4082990.1499999994</v>
      </c>
      <c r="E19" s="174">
        <f>'Cash &amp; Detail'!$K324</f>
        <v>7709475.0700000012</v>
      </c>
      <c r="F19" s="174">
        <f>'Cash &amp; Detail'!$K371</f>
        <v>14514787.780000001</v>
      </c>
      <c r="G19" s="174">
        <f>'Cash &amp; Detail'!$K418</f>
        <v>20668173.029999997</v>
      </c>
      <c r="H19" s="174">
        <f>'Cash &amp; Detail'!$K461</f>
        <v>19354634.989999998</v>
      </c>
      <c r="I19" s="174">
        <f>'Cash &amp; Detail'!$K500</f>
        <v>16156747.149999999</v>
      </c>
      <c r="J19" s="174">
        <f>'Cash &amp; Detail'!$K535</f>
        <v>13266852.279999999</v>
      </c>
      <c r="K19" s="174">
        <f>'Cash &amp; Detail'!$K566</f>
        <v>10483818.169999998</v>
      </c>
      <c r="L19" s="174">
        <f>'Cash &amp; Detail'!$K593</f>
        <v>6734242.8900000015</v>
      </c>
      <c r="M19" s="174">
        <f>'Cash &amp; Detail'!K616</f>
        <v>5904686.1899999995</v>
      </c>
      <c r="N19" s="174">
        <f>'Cash &amp; Detail'!$K593</f>
        <v>6734242.8900000015</v>
      </c>
      <c r="O19" s="174">
        <f>'Cash &amp; Detail'!$K593</f>
        <v>6734242.8900000015</v>
      </c>
      <c r="P19" s="174">
        <f>'Cash &amp; Detail'!$K593</f>
        <v>6734242.8900000015</v>
      </c>
      <c r="Q19" s="174">
        <f>'Cash &amp; Detail'!$K593</f>
        <v>6734242.8900000015</v>
      </c>
    </row>
    <row r="20" spans="1:17" s="182" customFormat="1" hidden="1" x14ac:dyDescent="0.2">
      <c r="A20" s="193" t="s">
        <v>162</v>
      </c>
      <c r="B20" s="174">
        <v>0</v>
      </c>
      <c r="C20" s="174">
        <v>0</v>
      </c>
      <c r="D20" s="174">
        <f>'Cash &amp; Detail'!$M226</f>
        <v>0</v>
      </c>
      <c r="E20" s="174">
        <f>'Cash &amp; Detail'!$M324</f>
        <v>2676357</v>
      </c>
      <c r="F20" s="174">
        <f>'Cash &amp; Detail'!$M371</f>
        <v>4002218.87</v>
      </c>
      <c r="G20" s="174">
        <f>'Cash &amp; Detail'!$M418</f>
        <v>6260866</v>
      </c>
      <c r="H20" s="174">
        <f>'Cash &amp; Detail'!$M461</f>
        <v>5940162.1199999992</v>
      </c>
      <c r="I20" s="174">
        <f>'Cash &amp; Detail'!$M500</f>
        <v>5833194.0000000009</v>
      </c>
      <c r="J20" s="174">
        <f>'Cash &amp; Detail'!$M535</f>
        <v>5625341</v>
      </c>
      <c r="K20" s="174">
        <f>'Cash &amp; Detail'!$M566</f>
        <v>5285627</v>
      </c>
      <c r="L20" s="174">
        <f>'Cash &amp; Detail'!$M593</f>
        <v>4328982</v>
      </c>
      <c r="M20" s="174">
        <f>'Cash &amp; Detail'!M616</f>
        <v>3653887.34</v>
      </c>
      <c r="N20" s="174">
        <f>'Cash &amp; Detail'!$M593</f>
        <v>4328982</v>
      </c>
      <c r="O20" s="174">
        <f>'Cash &amp; Detail'!$M593</f>
        <v>4328982</v>
      </c>
      <c r="P20" s="174">
        <f>'Cash &amp; Detail'!$M593</f>
        <v>4328982</v>
      </c>
      <c r="Q20" s="174">
        <f>'Cash &amp; Detail'!$M593</f>
        <v>4328982</v>
      </c>
    </row>
    <row r="21" spans="1:17" s="182" customFormat="1" hidden="1" x14ac:dyDescent="0.2">
      <c r="A21" s="193" t="s">
        <v>212</v>
      </c>
      <c r="B21" s="174"/>
      <c r="C21" s="174"/>
      <c r="D21" s="174">
        <f>'Cash &amp; Detail'!$O226</f>
        <v>0</v>
      </c>
      <c r="E21" s="174">
        <f>'Cash &amp; Detail'!$O324</f>
        <v>0</v>
      </c>
      <c r="F21" s="174">
        <f>'Cash &amp; Detail'!$O371</f>
        <v>0</v>
      </c>
      <c r="G21" s="174">
        <f>'Cash &amp; Detail'!$O418</f>
        <v>0</v>
      </c>
      <c r="H21" s="174">
        <f>'Cash &amp; Detail'!$O461</f>
        <v>0</v>
      </c>
      <c r="I21" s="174">
        <f>'Cash &amp; Detail'!$O500</f>
        <v>0</v>
      </c>
      <c r="J21" s="174">
        <f>'Cash &amp; Detail'!$O535</f>
        <v>0</v>
      </c>
      <c r="K21" s="174">
        <f>'Cash &amp; Detail'!$O566</f>
        <v>396718.41000000003</v>
      </c>
      <c r="L21" s="174">
        <f>'Cash &amp; Detail'!$O593</f>
        <v>327458.76</v>
      </c>
      <c r="M21" s="174">
        <f>'Cash &amp; Detail'!O616</f>
        <v>285718.3</v>
      </c>
      <c r="N21" s="174">
        <f>'Cash &amp; Detail'!$O593</f>
        <v>327458.76</v>
      </c>
      <c r="O21" s="174">
        <f>'Cash &amp; Detail'!$O593</f>
        <v>327458.76</v>
      </c>
      <c r="P21" s="174">
        <f>'Cash &amp; Detail'!$O593</f>
        <v>327458.76</v>
      </c>
      <c r="Q21" s="174">
        <f>'Cash &amp; Detail'!$O593</f>
        <v>327458.76</v>
      </c>
    </row>
    <row r="22" spans="1:17" s="182" customFormat="1" hidden="1" x14ac:dyDescent="0.2">
      <c r="A22" s="193" t="s">
        <v>137</v>
      </c>
      <c r="B22" s="174">
        <f>'Cash &amp; Detail'!$R64</f>
        <v>4127755.95</v>
      </c>
      <c r="C22" s="174">
        <f>'Cash &amp; Detail'!$R122</f>
        <v>2131292.3100000005</v>
      </c>
      <c r="D22" s="174">
        <f>'Cash &amp; Detail'!$R226</f>
        <v>994028.55999999994</v>
      </c>
      <c r="E22" s="174">
        <f>'Cash &amp; Detail'!$R324</f>
        <v>1753531.7600000007</v>
      </c>
      <c r="F22" s="174">
        <f>'Cash &amp; Detail'!$R371</f>
        <v>3237480.8300000005</v>
      </c>
      <c r="G22" s="174">
        <f>'Cash &amp; Detail'!$R418</f>
        <v>4594847.33</v>
      </c>
      <c r="H22" s="174">
        <f>'Cash &amp; Detail'!$R461</f>
        <v>4574553.6899999985</v>
      </c>
      <c r="I22" s="174">
        <f>'Cash &amp; Detail'!$R500</f>
        <v>4229383.3699999992</v>
      </c>
      <c r="J22" s="174">
        <f>'Cash &amp; Detail'!$R535</f>
        <v>3598881.42</v>
      </c>
      <c r="K22" s="174">
        <f>'Cash &amp; Detail'!$R566</f>
        <v>2969483.3299999996</v>
      </c>
      <c r="L22" s="174">
        <f>'Cash &amp; Detail'!$R593</f>
        <v>1991114.75</v>
      </c>
      <c r="M22" s="174">
        <f>'Cash &amp; Detail'!R616</f>
        <v>1758637.8300000008</v>
      </c>
      <c r="N22" s="174">
        <f>'Cash &amp; Detail'!$R593</f>
        <v>1991114.75</v>
      </c>
      <c r="O22" s="174">
        <f>'Cash &amp; Detail'!$R593</f>
        <v>1991114.75</v>
      </c>
      <c r="P22" s="174">
        <f>'Cash &amp; Detail'!$R593</f>
        <v>1991114.75</v>
      </c>
      <c r="Q22" s="174">
        <f>'Cash &amp; Detail'!$R593</f>
        <v>1991114.75</v>
      </c>
    </row>
    <row r="23" spans="1:17" s="182" customFormat="1" hidden="1" x14ac:dyDescent="0.2">
      <c r="A23" s="193" t="s">
        <v>211</v>
      </c>
      <c r="B23" s="174">
        <f>'Cash &amp; Detail'!$T64</f>
        <v>450162.86</v>
      </c>
      <c r="C23" s="174">
        <f>'Cash &amp; Detail'!$T122</f>
        <v>218706.44000000003</v>
      </c>
      <c r="D23" s="174">
        <f>'Cash &amp; Detail'!$T226</f>
        <v>51761.010000000017</v>
      </c>
      <c r="E23" s="174">
        <f>'Cash &amp; Detail'!$T324</f>
        <v>2568034.7700000019</v>
      </c>
      <c r="F23" s="174">
        <f>'Cash &amp; Detail'!$T371</f>
        <v>4566683.8899999997</v>
      </c>
      <c r="G23" s="174">
        <f>'Cash &amp; Detail'!$T418</f>
        <v>5757596.7099999981</v>
      </c>
      <c r="H23" s="174">
        <f>'Cash &amp; Detail'!$T461</f>
        <v>6114837.2099999981</v>
      </c>
      <c r="I23" s="174">
        <f>'Cash &amp; Detail'!$T500</f>
        <v>5177700.4399999995</v>
      </c>
      <c r="J23" s="174">
        <f>'Cash &amp; Detail'!$T535</f>
        <v>4132382.419999999</v>
      </c>
      <c r="K23" s="174">
        <f>'Cash &amp; Detail'!$T566</f>
        <v>4321362.4999999991</v>
      </c>
      <c r="L23" s="174">
        <f>'Cash &amp; Detail'!$T593</f>
        <v>2786093.7599999988</v>
      </c>
      <c r="M23" s="174">
        <f>'Cash &amp; Detail'!T616</f>
        <v>2027334.0400000003</v>
      </c>
      <c r="N23" s="174">
        <f>'Cash &amp; Detail'!$T593</f>
        <v>2786093.7599999988</v>
      </c>
      <c r="O23" s="174">
        <f>'Cash &amp; Detail'!$T593</f>
        <v>2786093.7599999988</v>
      </c>
      <c r="P23" s="174">
        <f>'Cash &amp; Detail'!$T593</f>
        <v>2786093.7599999988</v>
      </c>
      <c r="Q23" s="174">
        <f>'Cash &amp; Detail'!$T593</f>
        <v>2786093.7599999988</v>
      </c>
    </row>
    <row r="24" spans="1:17" s="182" customFormat="1" hidden="1" x14ac:dyDescent="0.2">
      <c r="A24" s="193" t="s">
        <v>140</v>
      </c>
      <c r="B24" s="174">
        <f>'Cash &amp; Detail'!$P64</f>
        <v>1459352.7400000002</v>
      </c>
      <c r="C24" s="174">
        <f>'Cash &amp; Detail'!$P122</f>
        <v>627122.63000000012</v>
      </c>
      <c r="D24" s="174">
        <f>'Cash &amp; Detail'!$P226</f>
        <v>473470.44</v>
      </c>
      <c r="E24" s="174">
        <f>'Cash &amp; Detail'!$P324</f>
        <v>1414206.3900000004</v>
      </c>
      <c r="F24" s="174">
        <f>'Cash &amp; Detail'!$P371</f>
        <v>1298921.2099999997</v>
      </c>
      <c r="G24" s="174">
        <f>'Cash &amp; Detail'!$P418</f>
        <v>1186857.1299999994</v>
      </c>
      <c r="H24" s="174">
        <f>'Cash &amp; Detail'!$P461</f>
        <v>990458.77000000014</v>
      </c>
      <c r="I24" s="174">
        <f>'Cash &amp; Detail'!$P500</f>
        <v>1309324.25</v>
      </c>
      <c r="J24" s="174">
        <f>'Cash &amp; Detail'!$P535</f>
        <v>1127746.1600000004</v>
      </c>
      <c r="K24" s="174">
        <f>'Cash &amp; Detail'!$P566</f>
        <v>687561.73</v>
      </c>
      <c r="L24" s="174">
        <f>'Cash &amp; Detail'!$P593</f>
        <v>1112174.6400000001</v>
      </c>
      <c r="M24" s="174">
        <f>'Cash &amp; Detail'!P616</f>
        <v>1066017.4699999997</v>
      </c>
      <c r="N24" s="174">
        <f>'Cash &amp; Detail'!$P593</f>
        <v>1112174.6400000001</v>
      </c>
      <c r="O24" s="174">
        <f>'Cash &amp; Detail'!$P593</f>
        <v>1112174.6400000001</v>
      </c>
      <c r="P24" s="174">
        <f>'Cash &amp; Detail'!$P593</f>
        <v>1112174.6400000001</v>
      </c>
      <c r="Q24" s="174">
        <f>'Cash &amp; Detail'!$P593</f>
        <v>1112174.6400000001</v>
      </c>
    </row>
    <row r="25" spans="1:17" s="182" customFormat="1" hidden="1" x14ac:dyDescent="0.2">
      <c r="A25" s="193" t="s">
        <v>138</v>
      </c>
      <c r="B25" s="195"/>
      <c r="C25" s="195"/>
      <c r="D25" s="247"/>
      <c r="E25" s="196">
        <v>0</v>
      </c>
      <c r="F25" s="196">
        <v>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196">
        <v>0</v>
      </c>
      <c r="M25" s="196">
        <v>0</v>
      </c>
      <c r="N25" s="196">
        <v>0</v>
      </c>
      <c r="O25" s="196">
        <v>0</v>
      </c>
      <c r="P25" s="196">
        <v>0</v>
      </c>
      <c r="Q25" s="196">
        <v>1</v>
      </c>
    </row>
    <row r="26" spans="1:17" s="182" customFormat="1" hidden="1" x14ac:dyDescent="0.2">
      <c r="A26" s="197" t="s">
        <v>161</v>
      </c>
      <c r="B26" s="198">
        <f>'Cash &amp; Detail'!$V64</f>
        <v>2390152</v>
      </c>
      <c r="C26" s="198">
        <f>'Cash &amp; Detail'!$V122</f>
        <v>48644.01</v>
      </c>
      <c r="D26" s="198">
        <f>'Cash &amp; Detail'!$V226</f>
        <v>128489.68</v>
      </c>
      <c r="E26" s="198">
        <f>'Cash &amp; Detail'!$V324</f>
        <v>106937.79000000001</v>
      </c>
      <c r="F26" s="198">
        <f>'Cash &amp; Detail'!$V371</f>
        <v>97745.739999999991</v>
      </c>
      <c r="G26" s="198">
        <f>'Cash &amp; Detail'!$V418</f>
        <v>71222.2</v>
      </c>
      <c r="H26" s="198">
        <f>'Cash &amp; Detail'!$V461</f>
        <v>108262.74</v>
      </c>
      <c r="I26" s="198">
        <f>'Cash &amp; Detail'!$V500</f>
        <v>248776.14</v>
      </c>
      <c r="J26" s="198">
        <f>'Cash &amp; Detail'!$V535</f>
        <v>232288.40999999997</v>
      </c>
      <c r="K26" s="198">
        <f>'Cash &amp; Detail'!$V566</f>
        <v>121909.01</v>
      </c>
      <c r="L26" s="198">
        <f>'Cash &amp; Detail'!$V593</f>
        <v>22457.22</v>
      </c>
      <c r="M26" s="198">
        <f>'Cash &amp; Detail'!V616</f>
        <v>3474.04</v>
      </c>
      <c r="N26" s="198">
        <f>'Cash &amp; Detail'!$V593</f>
        <v>22457.22</v>
      </c>
      <c r="O26" s="198">
        <f>'Cash &amp; Detail'!$V593</f>
        <v>22457.22</v>
      </c>
      <c r="P26" s="198">
        <f>'Cash &amp; Detail'!$V593</f>
        <v>22457.22</v>
      </c>
      <c r="Q26" s="198">
        <f>'Cash &amp; Detail'!$V593</f>
        <v>22457.22</v>
      </c>
    </row>
    <row r="27" spans="1:17" s="182" customFormat="1" hidden="1" x14ac:dyDescent="0.2">
      <c r="A27" s="199" t="s">
        <v>139</v>
      </c>
      <c r="B27" s="174">
        <f t="shared" ref="B27:K27" si="3">B19+B20+B22+B23+B24+B25-B26</f>
        <v>23358009.710000008</v>
      </c>
      <c r="C27" s="174">
        <f t="shared" si="3"/>
        <v>12077179.049999997</v>
      </c>
      <c r="D27" s="174">
        <f t="shared" si="3"/>
        <v>5473760.4799999995</v>
      </c>
      <c r="E27" s="174">
        <f t="shared" si="3"/>
        <v>16014667.200000005</v>
      </c>
      <c r="F27" s="174">
        <f t="shared" si="3"/>
        <v>27522346.840000007</v>
      </c>
      <c r="G27" s="174">
        <f t="shared" si="3"/>
        <v>38397118</v>
      </c>
      <c r="H27" s="174">
        <f t="shared" si="3"/>
        <v>36866384.039999999</v>
      </c>
      <c r="I27" s="174">
        <f t="shared" si="3"/>
        <v>32457573.069999993</v>
      </c>
      <c r="J27" s="174">
        <f t="shared" si="3"/>
        <v>27518914.870000001</v>
      </c>
      <c r="K27" s="174">
        <f t="shared" si="3"/>
        <v>23625943.719999995</v>
      </c>
      <c r="L27" s="174">
        <f t="shared" ref="L27:Q27" si="4">L19+L20+L21+L22+L23+L24+L25-L26</f>
        <v>17257609.580000002</v>
      </c>
      <c r="M27" s="174">
        <f t="shared" si="4"/>
        <v>14692807.130000003</v>
      </c>
      <c r="N27" s="174">
        <f t="shared" si="4"/>
        <v>17257609.580000002</v>
      </c>
      <c r="O27" s="174">
        <f t="shared" si="4"/>
        <v>17257609.580000002</v>
      </c>
      <c r="P27" s="174">
        <f t="shared" si="4"/>
        <v>17257609.580000002</v>
      </c>
      <c r="Q27" s="174">
        <f t="shared" si="4"/>
        <v>17257610.580000002</v>
      </c>
    </row>
    <row r="28" spans="1:17" s="202" customFormat="1" hidden="1" x14ac:dyDescent="0.2">
      <c r="A28" s="200" t="s">
        <v>201</v>
      </c>
      <c r="B28" s="201" t="e">
        <f t="shared" ref="B28:H28" si="5">ROUND(B27/B9,3)</f>
        <v>#REF!</v>
      </c>
      <c r="C28" s="201" t="e">
        <f t="shared" si="5"/>
        <v>#REF!</v>
      </c>
      <c r="D28" s="201" t="e">
        <f t="shared" si="5"/>
        <v>#REF!</v>
      </c>
      <c r="E28" s="255" t="e">
        <f t="shared" si="5"/>
        <v>#REF!</v>
      </c>
      <c r="F28" s="255" t="e">
        <f t="shared" si="5"/>
        <v>#REF!</v>
      </c>
      <c r="G28" s="255" t="e">
        <f t="shared" si="5"/>
        <v>#REF!</v>
      </c>
      <c r="H28" s="255" t="e">
        <f t="shared" si="5"/>
        <v>#REF!</v>
      </c>
      <c r="I28" s="255" t="e">
        <f>ROUND(I27/I9,3)</f>
        <v>#REF!</v>
      </c>
      <c r="J28" s="255" t="e">
        <f t="shared" ref="J28:N28" si="6">ROUND(J27/J9,3)</f>
        <v>#REF!</v>
      </c>
      <c r="K28" s="255" t="e">
        <f t="shared" si="6"/>
        <v>#REF!</v>
      </c>
      <c r="L28" s="255" t="e">
        <f t="shared" si="6"/>
        <v>#REF!</v>
      </c>
      <c r="M28" s="255" t="e">
        <f t="shared" si="6"/>
        <v>#REF!</v>
      </c>
      <c r="N28" s="255" t="e">
        <f t="shared" si="6"/>
        <v>#REF!</v>
      </c>
      <c r="O28" s="255" t="e">
        <f t="shared" ref="O28:P28" si="7">ROUND(O27/O9,3)</f>
        <v>#REF!</v>
      </c>
      <c r="P28" s="255">
        <f t="shared" si="7"/>
        <v>0.14199999999999999</v>
      </c>
      <c r="Q28" s="255">
        <f t="shared" ref="Q28" si="8">ROUND(Q27/Q9,3)</f>
        <v>0.14199999999999999</v>
      </c>
    </row>
    <row r="29" spans="1:17" s="180" customFormat="1" x14ac:dyDescent="0.2">
      <c r="A29" s="203" t="s">
        <v>200</v>
      </c>
      <c r="B29" s="189" t="e">
        <f>ROUND('Burden Inputs'!#REF!,4)</f>
        <v>#REF!</v>
      </c>
      <c r="C29" s="189" t="e">
        <f>ROUND('Burden Inputs'!#REF!,4)</f>
        <v>#REF!</v>
      </c>
      <c r="D29" s="189" t="e">
        <f>ROUND('Exhibit 2'!#REF!,4)</f>
        <v>#REF!</v>
      </c>
      <c r="E29" s="253" t="e">
        <f>ROUND('Exhibit 2'!#REF!,4)</f>
        <v>#REF!</v>
      </c>
      <c r="F29" s="253" t="e">
        <f>ROUND('Exhibit 2'!#REF!,4)</f>
        <v>#REF!</v>
      </c>
      <c r="G29" s="253" t="e">
        <f>ROUND('Exhibit 2'!#REF!,4)</f>
        <v>#REF!</v>
      </c>
      <c r="H29" s="253" t="e">
        <f>ROUND('Exhibit 2'!#REF!,4)</f>
        <v>#REF!</v>
      </c>
      <c r="I29" s="254" t="e">
        <f>ROUND('Exhibit 2'!#REF!,4)</f>
        <v>#REF!</v>
      </c>
      <c r="J29" s="254" t="e">
        <f>ROUND('Exhibit 2'!#REF!,4)</f>
        <v>#REF!</v>
      </c>
      <c r="K29" s="254" t="e">
        <f>ROUND('Exhibit 2'!#REF!,4)</f>
        <v>#REF!</v>
      </c>
      <c r="L29" s="254" t="e">
        <f>ROUND('Exhibit 2'!#REF!,4)</f>
        <v>#REF!</v>
      </c>
      <c r="M29" s="254" t="e">
        <f>ROUND('Exhibit 2'!#REF!,4)</f>
        <v>#REF!</v>
      </c>
      <c r="N29" s="254">
        <f>ROUND('Exhibit 2'!E14,4)</f>
        <v>0.33279999999999998</v>
      </c>
      <c r="O29" s="254">
        <f>ROUND('Exhibit 2'!E13,4)</f>
        <v>0.32790000000000002</v>
      </c>
      <c r="P29" s="254">
        <f>ROUND('Exhibit 2'!E12,4)</f>
        <v>0.34660000000000002</v>
      </c>
      <c r="Q29" s="254">
        <f>ROUND('Exhibit 2'!E11,4)</f>
        <v>0.34050000000000002</v>
      </c>
    </row>
    <row r="30" spans="1:17" x14ac:dyDescent="0.2">
      <c r="A30" s="170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</row>
    <row r="31" spans="1:17" s="167" customFormat="1" x14ac:dyDescent="0.2">
      <c r="A31" s="204" t="s">
        <v>243</v>
      </c>
      <c r="B31" s="189" t="e">
        <f>B16+B28</f>
        <v>#REF!</v>
      </c>
      <c r="C31" s="189" t="e">
        <f>C16+C28</f>
        <v>#REF!</v>
      </c>
      <c r="D31" s="189" t="e">
        <f>D16+D28</f>
        <v>#REF!</v>
      </c>
      <c r="E31" s="189" t="e">
        <f t="shared" ref="E31:L31" si="9">E16+E29</f>
        <v>#REF!</v>
      </c>
      <c r="F31" s="189" t="e">
        <f t="shared" si="9"/>
        <v>#REF!</v>
      </c>
      <c r="G31" s="189" t="e">
        <f>G16+G29</f>
        <v>#REF!</v>
      </c>
      <c r="H31" s="189" t="e">
        <f t="shared" si="9"/>
        <v>#REF!</v>
      </c>
      <c r="I31" s="189" t="e">
        <f t="shared" si="9"/>
        <v>#REF!</v>
      </c>
      <c r="J31" s="189" t="e">
        <f t="shared" si="9"/>
        <v>#REF!</v>
      </c>
      <c r="K31" s="189" t="e">
        <f t="shared" si="9"/>
        <v>#REF!</v>
      </c>
      <c r="L31" s="189" t="e">
        <f t="shared" si="9"/>
        <v>#REF!</v>
      </c>
      <c r="M31" s="189" t="e">
        <f>M16+M29</f>
        <v>#REF!</v>
      </c>
      <c r="N31" s="189" t="e">
        <f>N16+N29</f>
        <v>#REF!</v>
      </c>
      <c r="O31" s="189" t="e">
        <f>O16+O29</f>
        <v>#REF!</v>
      </c>
      <c r="P31" s="189">
        <f>P16+P29</f>
        <v>0.99260000000000004</v>
      </c>
      <c r="Q31" s="189">
        <f>Q16+Q29</f>
        <v>1.0305</v>
      </c>
    </row>
    <row r="33" spans="1:17" ht="15" x14ac:dyDescent="0.25">
      <c r="A33" s="216" t="s">
        <v>176</v>
      </c>
      <c r="B33" s="170"/>
      <c r="C33" s="170"/>
      <c r="D33" s="170"/>
      <c r="E33" s="170"/>
      <c r="F33" s="170"/>
      <c r="G33" s="170"/>
      <c r="H33" s="205"/>
      <c r="I33" s="170"/>
      <c r="J33" s="170"/>
      <c r="K33" s="170"/>
      <c r="L33" s="170"/>
      <c r="M33" s="170"/>
      <c r="N33" s="170"/>
      <c r="O33" s="170"/>
      <c r="P33" s="170"/>
      <c r="Q33" s="170"/>
    </row>
    <row r="34" spans="1:17" x14ac:dyDescent="0.2">
      <c r="A34" s="170" t="s">
        <v>180</v>
      </c>
      <c r="B34" s="206" t="e">
        <f t="shared" ref="B34:H34" si="10">B9</f>
        <v>#REF!</v>
      </c>
      <c r="C34" s="206" t="e">
        <f t="shared" si="10"/>
        <v>#REF!</v>
      </c>
      <c r="D34" s="206" t="e">
        <f t="shared" si="10"/>
        <v>#REF!</v>
      </c>
      <c r="E34" s="206" t="e">
        <f t="shared" si="10"/>
        <v>#REF!</v>
      </c>
      <c r="F34" s="206" t="e">
        <f t="shared" si="10"/>
        <v>#REF!</v>
      </c>
      <c r="G34" s="206" t="e">
        <f t="shared" si="10"/>
        <v>#REF!</v>
      </c>
      <c r="H34" s="206" t="e">
        <f t="shared" si="10"/>
        <v>#REF!</v>
      </c>
      <c r="I34" s="206" t="e">
        <f>I9</f>
        <v>#REF!</v>
      </c>
      <c r="J34" s="206" t="e">
        <f t="shared" ref="J34:N34" si="11">J9</f>
        <v>#REF!</v>
      </c>
      <c r="K34" s="206" t="e">
        <f t="shared" si="11"/>
        <v>#REF!</v>
      </c>
      <c r="L34" s="206" t="e">
        <f t="shared" si="11"/>
        <v>#REF!</v>
      </c>
      <c r="M34" s="206" t="e">
        <f t="shared" si="11"/>
        <v>#REF!</v>
      </c>
      <c r="N34" s="206" t="e">
        <f t="shared" si="11"/>
        <v>#REF!</v>
      </c>
      <c r="O34" s="206" t="e">
        <f t="shared" ref="O34:P34" si="12">O9</f>
        <v>#REF!</v>
      </c>
      <c r="P34" s="206">
        <f t="shared" si="12"/>
        <v>121738406</v>
      </c>
      <c r="Q34" s="206">
        <f t="shared" ref="Q34" si="13">Q9</f>
        <v>121200631</v>
      </c>
    </row>
    <row r="35" spans="1:17" x14ac:dyDescent="0.2">
      <c r="A35" s="348" t="s">
        <v>244</v>
      </c>
      <c r="B35" s="206" t="e">
        <f>B16*B9</f>
        <v>#REF!</v>
      </c>
      <c r="C35" s="206" t="e">
        <f>ROUND(C16,4)*C9</f>
        <v>#REF!</v>
      </c>
      <c r="D35" s="206" t="e">
        <f t="shared" ref="D35:I35" si="14">D16*D9</f>
        <v>#REF!</v>
      </c>
      <c r="E35" s="206" t="e">
        <f t="shared" si="14"/>
        <v>#REF!</v>
      </c>
      <c r="F35" s="206" t="e">
        <f t="shared" si="14"/>
        <v>#REF!</v>
      </c>
      <c r="G35" s="206" t="e">
        <f t="shared" si="14"/>
        <v>#REF!</v>
      </c>
      <c r="H35" s="206" t="e">
        <f t="shared" si="14"/>
        <v>#REF!</v>
      </c>
      <c r="I35" s="206" t="e">
        <f t="shared" si="14"/>
        <v>#REF!</v>
      </c>
      <c r="J35" s="206" t="e">
        <f t="shared" ref="J35:N35" si="15">J16*J9</f>
        <v>#REF!</v>
      </c>
      <c r="K35" s="206" t="e">
        <f t="shared" si="15"/>
        <v>#REF!</v>
      </c>
      <c r="L35" s="206" t="e">
        <f t="shared" si="15"/>
        <v>#REF!</v>
      </c>
      <c r="M35" s="206" t="e">
        <f t="shared" si="15"/>
        <v>#REF!</v>
      </c>
      <c r="N35" s="206" t="e">
        <f t="shared" si="15"/>
        <v>#REF!</v>
      </c>
      <c r="O35" s="206" t="e">
        <f t="shared" ref="O35:P35" si="16">O16*O9</f>
        <v>#REF!</v>
      </c>
      <c r="P35" s="206">
        <f t="shared" si="16"/>
        <v>78643010.276000008</v>
      </c>
      <c r="Q35" s="206">
        <f t="shared" ref="Q35" si="17">Q16*Q9</f>
        <v>83628435.390000001</v>
      </c>
    </row>
    <row r="36" spans="1:17" x14ac:dyDescent="0.2">
      <c r="A36" s="348" t="s">
        <v>245</v>
      </c>
      <c r="B36" s="206" t="e">
        <f>B29*B9</f>
        <v>#REF!</v>
      </c>
      <c r="C36" s="206" t="e">
        <f>ROUND(C29,4)*C9</f>
        <v>#REF!</v>
      </c>
      <c r="D36" s="206" t="e">
        <f t="shared" ref="D36:L36" si="18">D29*D9</f>
        <v>#REF!</v>
      </c>
      <c r="E36" s="206" t="e">
        <f t="shared" si="18"/>
        <v>#REF!</v>
      </c>
      <c r="F36" s="206" t="e">
        <f t="shared" si="18"/>
        <v>#REF!</v>
      </c>
      <c r="G36" s="206" t="e">
        <f t="shared" si="18"/>
        <v>#REF!</v>
      </c>
      <c r="H36" s="206" t="e">
        <f t="shared" si="18"/>
        <v>#REF!</v>
      </c>
      <c r="I36" s="206" t="e">
        <f>I29*I9</f>
        <v>#REF!</v>
      </c>
      <c r="J36" s="206" t="e">
        <f t="shared" si="18"/>
        <v>#REF!</v>
      </c>
      <c r="K36" s="206" t="e">
        <f t="shared" si="18"/>
        <v>#REF!</v>
      </c>
      <c r="L36" s="206" t="e">
        <f t="shared" si="18"/>
        <v>#REF!</v>
      </c>
      <c r="M36" s="206" t="e">
        <f>M29*M9</f>
        <v>#REF!</v>
      </c>
      <c r="N36" s="206" t="e">
        <f>N29*N9</f>
        <v>#REF!</v>
      </c>
      <c r="O36" s="206" t="e">
        <f>O29*O9</f>
        <v>#REF!</v>
      </c>
      <c r="P36" s="206">
        <f>P29*P9</f>
        <v>42194531.519600004</v>
      </c>
      <c r="Q36" s="206">
        <f>Q29*Q9</f>
        <v>41268814.855500005</v>
      </c>
    </row>
    <row r="37" spans="1:17" x14ac:dyDescent="0.2">
      <c r="A37" s="176" t="s">
        <v>225</v>
      </c>
      <c r="B37" s="207"/>
      <c r="C37" s="207"/>
      <c r="D37" s="207"/>
      <c r="E37" s="207" t="e">
        <f t="shared" ref="E37:M37" si="19">SUM(E35:E36)</f>
        <v>#REF!</v>
      </c>
      <c r="F37" s="207" t="e">
        <f t="shared" si="19"/>
        <v>#REF!</v>
      </c>
      <c r="G37" s="207" t="e">
        <f t="shared" si="19"/>
        <v>#REF!</v>
      </c>
      <c r="H37" s="207" t="e">
        <f t="shared" si="19"/>
        <v>#REF!</v>
      </c>
      <c r="I37" s="207" t="e">
        <f t="shared" si="19"/>
        <v>#REF!</v>
      </c>
      <c r="J37" s="207" t="e">
        <f t="shared" si="19"/>
        <v>#REF!</v>
      </c>
      <c r="K37" s="207" t="e">
        <f t="shared" si="19"/>
        <v>#REF!</v>
      </c>
      <c r="L37" s="207" t="e">
        <f t="shared" si="19"/>
        <v>#REF!</v>
      </c>
      <c r="M37" s="207" t="e">
        <f t="shared" si="19"/>
        <v>#REF!</v>
      </c>
      <c r="N37" s="207" t="e">
        <f>SUM(N35:N36)</f>
        <v>#REF!</v>
      </c>
      <c r="O37" s="207" t="e">
        <f>SUM(O35:O36)</f>
        <v>#REF!</v>
      </c>
      <c r="P37" s="207">
        <f>SUM(P35:P36)</f>
        <v>120837541.79560001</v>
      </c>
      <c r="Q37" s="207">
        <f>SUM(Q35:Q36)</f>
        <v>124897250.2455</v>
      </c>
    </row>
    <row r="38" spans="1:17" x14ac:dyDescent="0.2">
      <c r="A38" s="203" t="s">
        <v>167</v>
      </c>
      <c r="B38" s="208" t="e">
        <f t="shared" ref="B38:H38" si="20">B34-B35-B36</f>
        <v>#REF!</v>
      </c>
      <c r="C38" s="208" t="e">
        <f t="shared" si="20"/>
        <v>#REF!</v>
      </c>
      <c r="D38" s="208" t="e">
        <f t="shared" si="20"/>
        <v>#REF!</v>
      </c>
      <c r="E38" s="208" t="e">
        <f t="shared" si="20"/>
        <v>#REF!</v>
      </c>
      <c r="F38" s="208" t="e">
        <f t="shared" si="20"/>
        <v>#REF!</v>
      </c>
      <c r="G38" s="208" t="e">
        <f t="shared" si="20"/>
        <v>#REF!</v>
      </c>
      <c r="H38" s="208" t="e">
        <f t="shared" si="20"/>
        <v>#REF!</v>
      </c>
      <c r="I38" s="208" t="e">
        <f>I34-I35-I36</f>
        <v>#REF!</v>
      </c>
      <c r="J38" s="208" t="e">
        <f t="shared" ref="J38:M38" si="21">J34-J35-J36</f>
        <v>#REF!</v>
      </c>
      <c r="K38" s="208" t="e">
        <f t="shared" si="21"/>
        <v>#REF!</v>
      </c>
      <c r="L38" s="208" t="e">
        <f t="shared" si="21"/>
        <v>#REF!</v>
      </c>
      <c r="M38" s="208" t="e">
        <f t="shared" si="21"/>
        <v>#REF!</v>
      </c>
      <c r="N38" s="208" t="e">
        <f>N34-N35-N36</f>
        <v>#REF!</v>
      </c>
      <c r="O38" s="208" t="e">
        <f t="shared" ref="O38:P38" si="22">O34-O35-O36</f>
        <v>#REF!</v>
      </c>
      <c r="P38" s="208">
        <f t="shared" si="22"/>
        <v>900864.20439998806</v>
      </c>
      <c r="Q38" s="208">
        <f t="shared" ref="Q38" si="23">Q34-Q35-Q36</f>
        <v>-3696619.2455000058</v>
      </c>
    </row>
    <row r="39" spans="1:17" s="210" customFormat="1" hidden="1" x14ac:dyDescent="0.2">
      <c r="A39" s="193" t="s">
        <v>261</v>
      </c>
      <c r="B39" s="209">
        <v>19973586</v>
      </c>
      <c r="C39" s="209" t="e">
        <f>'Burden Inputs'!#REF!</f>
        <v>#REF!</v>
      </c>
      <c r="D39" s="209" t="e">
        <f>'Burden Inputs'!#REF!</f>
        <v>#REF!</v>
      </c>
      <c r="E39" s="209" t="e">
        <f>'Burden Inputs'!#REF!</f>
        <v>#REF!</v>
      </c>
      <c r="F39" s="209" t="e">
        <f>'Burden Inputs'!#REF!</f>
        <v>#REF!</v>
      </c>
      <c r="G39" s="209" t="e">
        <f>'Burden Inputs'!#REF!</f>
        <v>#REF!</v>
      </c>
      <c r="H39" s="209" t="e">
        <f>'Burden Inputs'!#REF!</f>
        <v>#REF!</v>
      </c>
      <c r="I39" s="209" t="e">
        <f>'Burden Inputs'!#REF!</f>
        <v>#REF!</v>
      </c>
      <c r="J39" s="209" t="e">
        <f>'Burden Inputs'!#REF!</f>
        <v>#REF!</v>
      </c>
      <c r="K39" s="209" t="e">
        <f>'Burden Inputs'!#REF!</f>
        <v>#REF!</v>
      </c>
      <c r="L39" s="209" t="e">
        <f>'Burden Inputs'!#REF!</f>
        <v>#REF!</v>
      </c>
      <c r="M39" s="209" t="e">
        <f>'Burden Inputs'!#REF!</f>
        <v>#REF!</v>
      </c>
      <c r="N39" s="209" t="e">
        <f>'Burden Inputs'!#REF!</f>
        <v>#REF!</v>
      </c>
      <c r="O39" s="209" t="e">
        <f>'Burden Inputs'!#REF!</f>
        <v>#REF!</v>
      </c>
      <c r="P39" s="209">
        <f>'Burden Inputs'!O25</f>
        <v>2577470</v>
      </c>
      <c r="Q39" s="209">
        <f>'Burden Inputs'!O24</f>
        <v>-2163514</v>
      </c>
    </row>
    <row r="40" spans="1:17" s="168" customFormat="1" hidden="1" x14ac:dyDescent="0.2">
      <c r="A40" s="193" t="s">
        <v>168</v>
      </c>
      <c r="B40" s="181" t="e">
        <f>B38-B39</f>
        <v>#REF!</v>
      </c>
      <c r="C40" s="181" t="e">
        <f t="shared" ref="C40:I40" si="24">C38-C39</f>
        <v>#REF!</v>
      </c>
      <c r="D40" s="181" t="e">
        <f t="shared" si="24"/>
        <v>#REF!</v>
      </c>
      <c r="E40" s="181" t="e">
        <f t="shared" si="24"/>
        <v>#REF!</v>
      </c>
      <c r="F40" s="181" t="e">
        <f t="shared" si="24"/>
        <v>#REF!</v>
      </c>
      <c r="G40" s="181" t="e">
        <f t="shared" si="24"/>
        <v>#REF!</v>
      </c>
      <c r="H40" s="181" t="e">
        <f t="shared" si="24"/>
        <v>#REF!</v>
      </c>
      <c r="I40" s="181" t="e">
        <f t="shared" si="24"/>
        <v>#REF!</v>
      </c>
      <c r="J40" s="181" t="e">
        <f t="shared" ref="J40:N40" si="25">J38-J39</f>
        <v>#REF!</v>
      </c>
      <c r="K40" s="181" t="e">
        <f t="shared" si="25"/>
        <v>#REF!</v>
      </c>
      <c r="L40" s="181" t="e">
        <f t="shared" si="25"/>
        <v>#REF!</v>
      </c>
      <c r="M40" s="181" t="e">
        <f t="shared" si="25"/>
        <v>#REF!</v>
      </c>
      <c r="N40" s="181" t="e">
        <f t="shared" si="25"/>
        <v>#REF!</v>
      </c>
      <c r="O40" s="181" t="e">
        <f t="shared" ref="O40:P40" si="26">O38-O39</f>
        <v>#REF!</v>
      </c>
      <c r="P40" s="181">
        <f t="shared" si="26"/>
        <v>-1676605.7956000119</v>
      </c>
      <c r="Q40" s="181">
        <f t="shared" ref="Q40" si="27">Q38-Q39</f>
        <v>-1533105.2455000058</v>
      </c>
    </row>
    <row r="41" spans="1:17" x14ac:dyDescent="0.2">
      <c r="A41" s="170"/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</row>
    <row r="42" spans="1:17" ht="15" x14ac:dyDescent="0.25">
      <c r="A42" s="216" t="s">
        <v>177</v>
      </c>
      <c r="B42" s="211">
        <v>1</v>
      </c>
      <c r="C42" s="211">
        <v>1</v>
      </c>
      <c r="D42" s="211" t="e">
        <f>'Exhibit 2'!#REF!</f>
        <v>#REF!</v>
      </c>
      <c r="E42" s="211" t="e">
        <f>'Exhibit 2'!#REF!</f>
        <v>#REF!</v>
      </c>
      <c r="F42" s="211" t="e">
        <f>'Exhibit 2'!#REF!</f>
        <v>#REF!</v>
      </c>
      <c r="G42" s="211" t="e">
        <f>'Exhibit 2'!#REF!</f>
        <v>#REF!</v>
      </c>
      <c r="H42" s="211" t="e">
        <f>'Exhibit 2'!#REF!</f>
        <v>#REF!</v>
      </c>
      <c r="I42" s="211" t="e">
        <f>'Exhibit 2'!#REF!</f>
        <v>#REF!</v>
      </c>
      <c r="J42" s="211" t="e">
        <f>'Exhibit 2'!#REF!</f>
        <v>#REF!</v>
      </c>
      <c r="K42" s="211" t="e">
        <f>'Exhibit 2'!#REF!</f>
        <v>#REF!</v>
      </c>
      <c r="L42" s="211" t="e">
        <f>'Exhibit 2'!#REF!</f>
        <v>#REF!</v>
      </c>
      <c r="M42" s="211" t="e">
        <f>'Exhibit 2'!#REF!</f>
        <v>#REF!</v>
      </c>
      <c r="N42" s="211">
        <f>'Exhibit 2'!$I14</f>
        <v>0.97310866000717433</v>
      </c>
      <c r="O42" s="211">
        <f>'Exhibit 2'!$I13</f>
        <v>1.009031531</v>
      </c>
      <c r="P42" s="211">
        <f>'Exhibit 2'!$I12</f>
        <v>0.95005919169999997</v>
      </c>
      <c r="Q42" s="211">
        <f>'Exhibit 2'!$I11</f>
        <v>0.97349048182543496</v>
      </c>
    </row>
    <row r="43" spans="1:17" x14ac:dyDescent="0.2">
      <c r="A43" s="172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</row>
    <row r="44" spans="1:17" ht="15" x14ac:dyDescent="0.25">
      <c r="A44" s="216" t="s">
        <v>178</v>
      </c>
      <c r="B44" s="212" t="e">
        <f>'Burden Inputs'!#REF!</f>
        <v>#REF!</v>
      </c>
      <c r="C44" s="212" t="e">
        <f>'Burden Inputs'!#REF!</f>
        <v>#REF!</v>
      </c>
      <c r="D44" s="212" t="e">
        <f>'Burden Inputs'!#REF!</f>
        <v>#REF!</v>
      </c>
      <c r="E44" s="212" t="e">
        <f>'Burden Inputs'!#REF!</f>
        <v>#REF!</v>
      </c>
      <c r="F44" s="212" t="e">
        <f>'Burden Inputs'!#REF!</f>
        <v>#REF!</v>
      </c>
      <c r="G44" s="212" t="e">
        <f>'Burden Inputs'!#REF!</f>
        <v>#REF!</v>
      </c>
      <c r="H44" s="212" t="e">
        <f>'Burden Inputs'!#REF!</f>
        <v>#REF!</v>
      </c>
      <c r="I44" s="212" t="e">
        <f>'Burden Inputs'!#REF!</f>
        <v>#REF!</v>
      </c>
      <c r="J44" s="212" t="e">
        <f>'Burden Inputs'!#REF!</f>
        <v>#REF!</v>
      </c>
      <c r="K44" s="212" t="e">
        <f>'Burden Inputs'!#REF!</f>
        <v>#REF!</v>
      </c>
      <c r="L44" s="212" t="e">
        <f>'Burden Inputs'!#REF!</f>
        <v>#REF!</v>
      </c>
      <c r="M44" s="212" t="e">
        <f>'Burden Inputs'!#REF!</f>
        <v>#REF!</v>
      </c>
      <c r="N44" s="212" t="e">
        <f>'Burden Inputs'!#REF!</f>
        <v>#REF!</v>
      </c>
      <c r="O44" s="212" t="e">
        <f>'Burden Inputs'!#REF!</f>
        <v>#REF!</v>
      </c>
      <c r="P44" s="212">
        <f>'Burden Inputs'!$M25</f>
        <v>486319765</v>
      </c>
      <c r="Q44" s="212">
        <f>'Burden Inputs'!$M24</f>
        <v>515201805</v>
      </c>
    </row>
    <row r="45" spans="1:17" x14ac:dyDescent="0.2">
      <c r="A45" s="170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</row>
    <row r="46" spans="1:17" x14ac:dyDescent="0.2">
      <c r="A46" s="176"/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</row>
    <row r="47" spans="1:17" ht="15" x14ac:dyDescent="0.25">
      <c r="A47" s="218" t="s">
        <v>186</v>
      </c>
      <c r="B47" s="213" t="e">
        <f t="shared" ref="B47:Q47" si="28">ROUND((B16+B29-1)*(B9/B44)*B42,4)</f>
        <v>#REF!</v>
      </c>
      <c r="C47" s="213" t="e">
        <f t="shared" si="28"/>
        <v>#REF!</v>
      </c>
      <c r="D47" s="213" t="e">
        <f t="shared" si="28"/>
        <v>#REF!</v>
      </c>
      <c r="E47" s="213" t="e">
        <f t="shared" si="28"/>
        <v>#REF!</v>
      </c>
      <c r="F47" s="213" t="e">
        <f t="shared" si="28"/>
        <v>#REF!</v>
      </c>
      <c r="G47" s="213" t="e">
        <f t="shared" si="28"/>
        <v>#REF!</v>
      </c>
      <c r="H47" s="213" t="e">
        <f t="shared" si="28"/>
        <v>#REF!</v>
      </c>
      <c r="I47" s="213" t="e">
        <f t="shared" si="28"/>
        <v>#REF!</v>
      </c>
      <c r="J47" s="213" t="e">
        <f t="shared" si="28"/>
        <v>#REF!</v>
      </c>
      <c r="K47" s="213" t="e">
        <f t="shared" si="28"/>
        <v>#REF!</v>
      </c>
      <c r="L47" s="213" t="e">
        <f t="shared" si="28"/>
        <v>#REF!</v>
      </c>
      <c r="M47" s="213" t="e">
        <f t="shared" si="28"/>
        <v>#REF!</v>
      </c>
      <c r="N47" s="213" t="e">
        <f t="shared" si="28"/>
        <v>#REF!</v>
      </c>
      <c r="O47" s="213" t="e">
        <f t="shared" si="28"/>
        <v>#REF!</v>
      </c>
      <c r="P47" s="213">
        <f t="shared" si="28"/>
        <v>-1.8E-3</v>
      </c>
      <c r="Q47" s="213">
        <f t="shared" si="28"/>
        <v>7.0000000000000001E-3</v>
      </c>
    </row>
    <row r="48" spans="1:17" s="168" customFormat="1" hidden="1" x14ac:dyDescent="0.2">
      <c r="A48" s="168" t="s">
        <v>181</v>
      </c>
      <c r="B48" s="194" t="e">
        <f t="shared" ref="B48:K48" si="29">ROUND((B16+B29-1)*(B9/B44)*B42,4)</f>
        <v>#REF!</v>
      </c>
      <c r="C48" s="194" t="e">
        <f t="shared" si="29"/>
        <v>#REF!</v>
      </c>
      <c r="D48" s="194" t="e">
        <f t="shared" si="29"/>
        <v>#REF!</v>
      </c>
      <c r="E48" s="194" t="e">
        <f t="shared" si="29"/>
        <v>#REF!</v>
      </c>
      <c r="F48" s="194" t="e">
        <f t="shared" si="29"/>
        <v>#REF!</v>
      </c>
      <c r="G48" s="194" t="e">
        <f t="shared" si="29"/>
        <v>#REF!</v>
      </c>
      <c r="H48" s="194" t="e">
        <f t="shared" si="29"/>
        <v>#REF!</v>
      </c>
      <c r="I48" s="194" t="e">
        <f t="shared" si="29"/>
        <v>#REF!</v>
      </c>
      <c r="J48" s="194" t="e">
        <f t="shared" si="29"/>
        <v>#REF!</v>
      </c>
      <c r="K48" s="194" t="e">
        <f t="shared" si="29"/>
        <v>#REF!</v>
      </c>
    </row>
    <row r="49" spans="1:11" s="168" customFormat="1" hidden="1" x14ac:dyDescent="0.2">
      <c r="A49" s="168" t="s">
        <v>175</v>
      </c>
      <c r="B49" s="214" t="e">
        <f t="shared" ref="B49:H49" si="30">B47-B48</f>
        <v>#REF!</v>
      </c>
      <c r="C49" s="214" t="e">
        <f t="shared" si="30"/>
        <v>#REF!</v>
      </c>
      <c r="D49" s="214" t="e">
        <f t="shared" si="30"/>
        <v>#REF!</v>
      </c>
      <c r="E49" s="214" t="e">
        <f t="shared" si="30"/>
        <v>#REF!</v>
      </c>
      <c r="F49" s="214" t="e">
        <f t="shared" si="30"/>
        <v>#REF!</v>
      </c>
      <c r="G49" s="214" t="e">
        <f t="shared" si="30"/>
        <v>#REF!</v>
      </c>
      <c r="H49" s="214" t="e">
        <f t="shared" si="30"/>
        <v>#REF!</v>
      </c>
      <c r="I49" s="214" t="e">
        <f>I47-I48</f>
        <v>#REF!</v>
      </c>
      <c r="J49" s="214" t="e">
        <f t="shared" ref="J49:K49" si="31">J47-J48</f>
        <v>#REF!</v>
      </c>
      <c r="K49" s="214" t="e">
        <f t="shared" si="31"/>
        <v>#REF!</v>
      </c>
    </row>
  </sheetData>
  <mergeCells count="2">
    <mergeCell ref="A1:N1"/>
    <mergeCell ref="A2:N2"/>
  </mergeCells>
  <phoneticPr fontId="4" type="noConversion"/>
  <printOptions horizontalCentered="1"/>
  <pageMargins left="1" right="1" top="0.5" bottom="0.5" header="0.5" footer="0.5"/>
  <pageSetup scale="1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499984740745262"/>
  </sheetPr>
  <dimension ref="A1:L49"/>
  <sheetViews>
    <sheetView topLeftCell="A7" zoomScaleNormal="100" workbookViewId="0">
      <selection activeCell="K37" sqref="K37"/>
    </sheetView>
  </sheetViews>
  <sheetFormatPr defaultColWidth="9.140625" defaultRowHeight="12.75" x14ac:dyDescent="0.2"/>
  <cols>
    <col min="1" max="1" width="9.140625" style="221"/>
    <col min="2" max="2" width="10.28515625" style="221" customWidth="1"/>
    <col min="3" max="16384" width="9.140625" style="221"/>
  </cols>
  <sheetData>
    <row r="1" spans="12:12" x14ac:dyDescent="0.2">
      <c r="L1" s="220"/>
    </row>
    <row r="38" spans="1:4" ht="13.5" thickBot="1" x14ac:dyDescent="0.25">
      <c r="A38" s="442" t="s">
        <v>24</v>
      </c>
      <c r="B38" s="442"/>
    </row>
    <row r="39" spans="1:4" x14ac:dyDescent="0.2">
      <c r="A39" s="222" t="s">
        <v>25</v>
      </c>
      <c r="B39" s="222" t="s">
        <v>26</v>
      </c>
    </row>
    <row r="40" spans="1:4" x14ac:dyDescent="0.2">
      <c r="A40" s="223">
        <v>2016</v>
      </c>
      <c r="B40" s="224">
        <f>'Exhibit 2'!L14</f>
        <v>-5.1640000000000002E-3</v>
      </c>
      <c r="D40" s="360"/>
    </row>
    <row r="41" spans="1:4" x14ac:dyDescent="0.2">
      <c r="A41" s="223">
        <v>2017</v>
      </c>
      <c r="B41" s="224">
        <f>'Exhibit 2'!L13</f>
        <v>4.248E-3</v>
      </c>
      <c r="D41" s="360"/>
    </row>
    <row r="42" spans="1:4" x14ac:dyDescent="0.2">
      <c r="A42" s="223">
        <v>2018</v>
      </c>
      <c r="B42" s="224">
        <f>'Exhibit 2'!L12</f>
        <v>2.1194000000000001E-2</v>
      </c>
      <c r="D42" s="360"/>
    </row>
    <row r="43" spans="1:4" x14ac:dyDescent="0.2">
      <c r="A43" s="223">
        <v>2019</v>
      </c>
      <c r="B43" s="224">
        <f>'Exhibit 2'!L11</f>
        <v>1.1422E-2</v>
      </c>
      <c r="D43" s="223"/>
    </row>
    <row r="44" spans="1:4" x14ac:dyDescent="0.2">
      <c r="A44" s="223">
        <v>2020</v>
      </c>
      <c r="B44" s="224">
        <f>'Exhibit 2'!L10</f>
        <v>2.447E-3</v>
      </c>
      <c r="D44" s="223"/>
    </row>
    <row r="45" spans="1:4" x14ac:dyDescent="0.2">
      <c r="A45" s="223">
        <v>2021</v>
      </c>
      <c r="B45" s="360">
        <f>'Exhibit 2'!L9</f>
        <v>5.4168000000000001E-2</v>
      </c>
    </row>
    <row r="46" spans="1:4" x14ac:dyDescent="0.2">
      <c r="A46" s="223">
        <v>2022</v>
      </c>
      <c r="B46" s="360">
        <f>'Exhibit 2'!L8</f>
        <v>2.0278000000000001E-2</v>
      </c>
    </row>
    <row r="47" spans="1:4" x14ac:dyDescent="0.2">
      <c r="A47" s="223">
        <v>2023</v>
      </c>
      <c r="B47" s="360">
        <f>'Exhibit 2'!L7</f>
        <v>1.8147E-2</v>
      </c>
    </row>
    <row r="48" spans="1:4" x14ac:dyDescent="0.2">
      <c r="A48" s="223">
        <v>2024</v>
      </c>
      <c r="B48" s="224">
        <f>'Exhibit 2'!L6</f>
        <v>2.8766E-2</v>
      </c>
    </row>
    <row r="49" spans="1:2" x14ac:dyDescent="0.2">
      <c r="A49" s="223">
        <v>2025</v>
      </c>
      <c r="B49" s="224">
        <f>'Exhibit 2'!L5</f>
        <v>2.2671E-2</v>
      </c>
    </row>
  </sheetData>
  <mergeCells count="1">
    <mergeCell ref="A38:B38"/>
  </mergeCells>
  <phoneticPr fontId="4" type="noConversion"/>
  <pageMargins left="0.75" right="0.75" top="1" bottom="1" header="0.75" footer="0.5"/>
  <pageSetup orientation="landscape" r:id="rId1"/>
  <headerFooter alignWithMargins="0">
    <oddHeader>&amp;R&amp;"Verdana,Regular"Exhibit 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  <pageSetUpPr fitToPage="1"/>
  </sheetPr>
  <dimension ref="B1:P29"/>
  <sheetViews>
    <sheetView zoomScale="80" zoomScaleNormal="80" workbookViewId="0">
      <selection activeCell="K37" sqref="K37"/>
    </sheetView>
  </sheetViews>
  <sheetFormatPr defaultColWidth="9.140625" defaultRowHeight="12.75" x14ac:dyDescent="0.2"/>
  <cols>
    <col min="1" max="1" width="3.7109375" style="221" customWidth="1"/>
    <col min="2" max="2" width="9.5703125" style="221" bestFit="1" customWidth="1"/>
    <col min="3" max="3" width="10.28515625" style="221" customWidth="1"/>
    <col min="4" max="4" width="2.140625" style="221" customWidth="1"/>
    <col min="5" max="5" width="10.140625" style="221" customWidth="1"/>
    <col min="6" max="6" width="2.140625" style="221" customWidth="1"/>
    <col min="7" max="7" width="26" style="221" customWidth="1"/>
    <col min="8" max="8" width="3" style="221" bestFit="1" customWidth="1"/>
    <col min="9" max="9" width="9.140625" style="221"/>
    <col min="10" max="10" width="2.5703125" style="221" customWidth="1"/>
    <col min="11" max="11" width="12.140625" style="221" customWidth="1"/>
    <col min="12" max="12" width="24.85546875" style="221" customWidth="1"/>
    <col min="13" max="13" width="3.28515625" style="221" customWidth="1"/>
    <col min="14" max="14" width="14" style="221" customWidth="1"/>
    <col min="15" max="15" width="12.85546875" style="221" customWidth="1"/>
    <col min="16" max="16384" width="9.140625" style="221"/>
  </cols>
  <sheetData>
    <row r="1" spans="2:16" ht="13.5" thickBot="1" x14ac:dyDescent="0.25"/>
    <row r="2" spans="2:16" s="223" customFormat="1" ht="13.5" thickTop="1" x14ac:dyDescent="0.2">
      <c r="B2" s="225" t="s">
        <v>11</v>
      </c>
      <c r="C2" s="436" t="s">
        <v>12</v>
      </c>
      <c r="D2" s="437"/>
      <c r="E2" s="436" t="s">
        <v>13</v>
      </c>
      <c r="F2" s="437"/>
      <c r="G2" s="436" t="s">
        <v>14</v>
      </c>
      <c r="H2" s="437"/>
      <c r="I2" s="436" t="s">
        <v>15</v>
      </c>
      <c r="J2" s="437"/>
      <c r="K2" s="226" t="s">
        <v>16</v>
      </c>
      <c r="L2" s="227" t="s">
        <v>17</v>
      </c>
    </row>
    <row r="3" spans="2:16" s="228" customFormat="1" ht="25.5" customHeight="1" x14ac:dyDescent="0.2">
      <c r="B3" s="430" t="s">
        <v>18</v>
      </c>
      <c r="C3" s="432" t="s">
        <v>59</v>
      </c>
      <c r="D3" s="433"/>
      <c r="E3" s="432" t="s">
        <v>62</v>
      </c>
      <c r="F3" s="433"/>
      <c r="G3" s="432" t="s">
        <v>240</v>
      </c>
      <c r="H3" s="433"/>
      <c r="I3" s="432" t="s">
        <v>78</v>
      </c>
      <c r="J3" s="433"/>
      <c r="K3" s="408" t="s">
        <v>69</v>
      </c>
      <c r="L3" s="409" t="s">
        <v>20</v>
      </c>
      <c r="O3" s="228" t="s">
        <v>184</v>
      </c>
      <c r="P3" s="228" t="s">
        <v>185</v>
      </c>
    </row>
    <row r="4" spans="2:16" s="228" customFormat="1" ht="16.5" customHeight="1" thickBot="1" x14ac:dyDescent="0.25">
      <c r="B4" s="431"/>
      <c r="C4" s="434"/>
      <c r="D4" s="435"/>
      <c r="E4" s="434"/>
      <c r="F4" s="435"/>
      <c r="G4" s="434"/>
      <c r="H4" s="435"/>
      <c r="I4" s="434"/>
      <c r="J4" s="435"/>
      <c r="K4" s="229" t="s">
        <v>21</v>
      </c>
      <c r="L4" s="230" t="s">
        <v>99</v>
      </c>
      <c r="O4" s="407" t="s">
        <v>205</v>
      </c>
    </row>
    <row r="5" spans="2:16" s="228" customFormat="1" ht="12.75" customHeight="1" thickTop="1" x14ac:dyDescent="0.2">
      <c r="B5" s="422">
        <v>2025</v>
      </c>
      <c r="C5" s="232">
        <f>'Burden Inputs'!C16</f>
        <v>0.8</v>
      </c>
      <c r="D5" s="423"/>
      <c r="E5" s="356">
        <f>'Burden Inputs'!K16</f>
        <v>0.36670000000000003</v>
      </c>
      <c r="F5" s="234"/>
      <c r="G5" s="356">
        <f>ROUND('Burden Inputs'!I16/'Burden Inputs'!M16,4)</f>
        <v>0.13600000000000001</v>
      </c>
      <c r="H5" s="235"/>
      <c r="I5" s="236">
        <f>'Burden Inputs'!Q16</f>
        <v>1</v>
      </c>
      <c r="J5" s="312"/>
      <c r="K5" s="237">
        <f t="shared" ref="K5" si="0">IF(I5&lt;&gt;0,ROUND(G5*I5,4),G5)</f>
        <v>0.13600000000000001</v>
      </c>
      <c r="L5" s="238">
        <f t="shared" ref="L5" si="1">ROUND((C5+E5-1)*K5,6)</f>
        <v>2.2671E-2</v>
      </c>
      <c r="O5" s="239">
        <v>2.3E-2</v>
      </c>
      <c r="P5" s="239">
        <f t="shared" ref="P5:P14" si="2">ABS(L5)-ABS(O5)</f>
        <v>-3.2899999999999943E-4</v>
      </c>
    </row>
    <row r="6" spans="2:16" s="228" customFormat="1" x14ac:dyDescent="0.2">
      <c r="B6" s="422">
        <v>2024</v>
      </c>
      <c r="C6" s="232">
        <f>'Burden Inputs'!C17</f>
        <v>0.85</v>
      </c>
      <c r="D6" s="423"/>
      <c r="E6" s="356">
        <f>'Burden Inputs'!K17</f>
        <v>0.36580000000000001</v>
      </c>
      <c r="F6" s="234"/>
      <c r="G6" s="356">
        <f>ROUND('Burden Inputs'!I17/'Burden Inputs'!M17,4)</f>
        <v>0.1333</v>
      </c>
      <c r="H6" s="235"/>
      <c r="I6" s="236">
        <f>'Burden Inputs'!Q17</f>
        <v>1</v>
      </c>
      <c r="J6" s="312"/>
      <c r="K6" s="237">
        <f t="shared" ref="K6:K14" si="3">IF(I6&lt;&gt;0,ROUND(G6*I6,4),G6)</f>
        <v>0.1333</v>
      </c>
      <c r="L6" s="238">
        <f t="shared" ref="L6:L13" si="4">ROUND((C6+E6-1)*K6,6)</f>
        <v>2.8766E-2</v>
      </c>
      <c r="O6" s="239">
        <v>2.9000000000000001E-2</v>
      </c>
      <c r="P6" s="239">
        <f t="shared" si="2"/>
        <v>-2.3400000000000157E-4</v>
      </c>
    </row>
    <row r="7" spans="2:16" s="228" customFormat="1" x14ac:dyDescent="0.2">
      <c r="B7" s="422">
        <v>2023</v>
      </c>
      <c r="C7" s="232">
        <f>'Burden Inputs'!C18</f>
        <v>0.78</v>
      </c>
      <c r="D7" s="423"/>
      <c r="E7" s="356">
        <f>'Burden Inputs'!K18</f>
        <v>0.34989999999999988</v>
      </c>
      <c r="F7" s="234"/>
      <c r="G7" s="356">
        <f>ROUND('Burden Inputs'!I18/'Burden Inputs'!M18,4)</f>
        <v>0.1431</v>
      </c>
      <c r="H7" s="235"/>
      <c r="I7" s="236">
        <f>'Burden Inputs'!Q18</f>
        <v>0.97611254095699596</v>
      </c>
      <c r="J7" s="312"/>
      <c r="K7" s="237">
        <f t="shared" si="3"/>
        <v>0.13969999999999999</v>
      </c>
      <c r="L7" s="238">
        <f t="shared" si="4"/>
        <v>1.8147E-2</v>
      </c>
      <c r="O7" s="239">
        <v>1.9E-2</v>
      </c>
      <c r="P7" s="239">
        <f t="shared" si="2"/>
        <v>-8.5299999999999959E-4</v>
      </c>
    </row>
    <row r="8" spans="2:16" s="228" customFormat="1" x14ac:dyDescent="0.2">
      <c r="B8" s="422">
        <v>2022</v>
      </c>
      <c r="C8" s="232">
        <f>'Burden Inputs'!C19</f>
        <v>0.78</v>
      </c>
      <c r="D8" s="423"/>
      <c r="E8" s="356">
        <f>'Burden Inputs'!K19</f>
        <v>0.34650000000000003</v>
      </c>
      <c r="F8" s="234"/>
      <c r="G8" s="356">
        <f>ROUND('Burden Inputs'!I19/'Burden Inputs'!M19,4)</f>
        <v>0.1638</v>
      </c>
      <c r="H8" s="235"/>
      <c r="I8" s="236">
        <f>'Burden Inputs'!Q19</f>
        <v>0.97862003850000001</v>
      </c>
      <c r="J8" s="312"/>
      <c r="K8" s="237">
        <f t="shared" si="3"/>
        <v>0.1603</v>
      </c>
      <c r="L8" s="238">
        <f t="shared" si="4"/>
        <v>2.0278000000000001E-2</v>
      </c>
      <c r="O8" s="239">
        <v>2.1000000000000001E-2</v>
      </c>
      <c r="P8" s="239">
        <f t="shared" si="2"/>
        <v>-7.2200000000000042E-4</v>
      </c>
    </row>
    <row r="9" spans="2:16" s="228" customFormat="1" x14ac:dyDescent="0.2">
      <c r="B9" s="231">
        <v>2021</v>
      </c>
      <c r="C9" s="232">
        <f>'Burden Inputs'!C20</f>
        <v>0.94</v>
      </c>
      <c r="D9" s="233"/>
      <c r="E9" s="356">
        <f>'Burden Inputs'!K20</f>
        <v>0.35600000000000009</v>
      </c>
      <c r="F9" s="234"/>
      <c r="G9" s="356">
        <f>ROUND('Burden Inputs'!I20/'Burden Inputs'!M20,4)</f>
        <v>0.1784</v>
      </c>
      <c r="H9" s="235"/>
      <c r="I9" s="236">
        <f>'Burden Inputs'!Q20</f>
        <v>1.0255909877</v>
      </c>
      <c r="J9" s="312"/>
      <c r="K9" s="237">
        <f t="shared" si="3"/>
        <v>0.183</v>
      </c>
      <c r="L9" s="238">
        <f t="shared" si="4"/>
        <v>5.4168000000000001E-2</v>
      </c>
      <c r="O9" s="239">
        <v>5.3999999999999999E-2</v>
      </c>
      <c r="P9" s="239">
        <f t="shared" si="2"/>
        <v>1.6800000000000148E-4</v>
      </c>
    </row>
    <row r="10" spans="2:16" s="228" customFormat="1" x14ac:dyDescent="0.2">
      <c r="B10" s="231">
        <v>2020</v>
      </c>
      <c r="C10" s="232">
        <f>'Burden Inputs'!C21</f>
        <v>0.68</v>
      </c>
      <c r="D10" s="233"/>
      <c r="E10" s="356">
        <f>'Burden Inputs'!K21</f>
        <v>0.33340000000000003</v>
      </c>
      <c r="F10" s="234"/>
      <c r="G10" s="356">
        <f>ROUND('Burden Inputs'!I21/'Burden Inputs'!M21,4)</f>
        <v>0.19769999999999999</v>
      </c>
      <c r="H10" s="235"/>
      <c r="I10" s="236">
        <f>'Burden Inputs'!Q21</f>
        <v>0.92357474112073201</v>
      </c>
      <c r="J10" s="312"/>
      <c r="K10" s="237">
        <f t="shared" si="3"/>
        <v>0.18260000000000001</v>
      </c>
      <c r="L10" s="238">
        <f t="shared" si="4"/>
        <v>2.447E-3</v>
      </c>
      <c r="O10" s="239">
        <v>3.0000000000000001E-3</v>
      </c>
      <c r="P10" s="239">
        <f t="shared" si="2"/>
        <v>-5.5300000000000011E-4</v>
      </c>
    </row>
    <row r="11" spans="2:16" s="228" customFormat="1" x14ac:dyDescent="0.2">
      <c r="B11" s="231">
        <v>2019</v>
      </c>
      <c r="C11" s="232">
        <f>'Burden Inputs'!C22</f>
        <v>0.72</v>
      </c>
      <c r="D11" s="233"/>
      <c r="E11" s="356">
        <f>'Burden Inputs'!K22</f>
        <v>0.34050000000000002</v>
      </c>
      <c r="F11" s="234"/>
      <c r="G11" s="356">
        <f>ROUND('Burden Inputs'!I22/'Burden Inputs'!M22,4)</f>
        <v>0.19389999999999999</v>
      </c>
      <c r="H11" s="235"/>
      <c r="I11" s="236">
        <f>'Burden Inputs'!Q22</f>
        <v>0.97349048182543496</v>
      </c>
      <c r="J11" s="312"/>
      <c r="K11" s="237">
        <f t="shared" si="3"/>
        <v>0.1888</v>
      </c>
      <c r="L11" s="238">
        <f t="shared" si="4"/>
        <v>1.1422E-2</v>
      </c>
      <c r="O11" s="239">
        <v>1.2E-2</v>
      </c>
      <c r="P11" s="239">
        <f t="shared" si="2"/>
        <v>-5.7800000000000039E-4</v>
      </c>
    </row>
    <row r="12" spans="2:16" s="228" customFormat="1" x14ac:dyDescent="0.2">
      <c r="B12" s="231">
        <v>2018</v>
      </c>
      <c r="C12" s="232">
        <f>'Burden Inputs'!C23</f>
        <v>0.75</v>
      </c>
      <c r="D12" s="233"/>
      <c r="E12" s="356">
        <f>'Burden Inputs'!K23</f>
        <v>0.34660000000000002</v>
      </c>
      <c r="F12" s="234"/>
      <c r="G12" s="356">
        <f>ROUND('Burden Inputs'!I23/'Burden Inputs'!M23,4)</f>
        <v>0.23089999999999999</v>
      </c>
      <c r="H12" s="235"/>
      <c r="I12" s="236">
        <f>'Burden Inputs'!Q23</f>
        <v>0.95005919169999997</v>
      </c>
      <c r="J12" s="312"/>
      <c r="K12" s="237">
        <f t="shared" si="3"/>
        <v>0.21940000000000001</v>
      </c>
      <c r="L12" s="238">
        <f t="shared" si="4"/>
        <v>2.1194000000000001E-2</v>
      </c>
      <c r="O12" s="429">
        <v>2.1999999999999999E-2</v>
      </c>
      <c r="P12" s="239">
        <f t="shared" si="2"/>
        <v>-8.0599999999999769E-4</v>
      </c>
    </row>
    <row r="13" spans="2:16" s="228" customFormat="1" x14ac:dyDescent="0.2">
      <c r="B13" s="231">
        <v>2017</v>
      </c>
      <c r="C13" s="232">
        <f>'Burden Inputs'!C24</f>
        <v>0.69</v>
      </c>
      <c r="D13" s="233"/>
      <c r="E13" s="356">
        <f>'Burden Inputs'!K24</f>
        <v>0.32790000000000008</v>
      </c>
      <c r="F13" s="234"/>
      <c r="G13" s="356">
        <f>ROUND('Burden Inputs'!I24/'Burden Inputs'!M24,4)</f>
        <v>0.23519999999999999</v>
      </c>
      <c r="H13" s="235"/>
      <c r="I13" s="236">
        <f>'Burden Inputs'!Q24</f>
        <v>1.009031531</v>
      </c>
      <c r="J13" s="312"/>
      <c r="K13" s="237">
        <f t="shared" si="3"/>
        <v>0.23730000000000001</v>
      </c>
      <c r="L13" s="238">
        <f t="shared" si="4"/>
        <v>4.248E-3</v>
      </c>
      <c r="O13" s="239">
        <v>4.0000000000000001E-3</v>
      </c>
      <c r="P13" s="239">
        <f t="shared" si="2"/>
        <v>2.4799999999999996E-4</v>
      </c>
    </row>
    <row r="14" spans="2:16" s="228" customFormat="1" ht="13.5" thickBot="1" x14ac:dyDescent="0.25">
      <c r="B14" s="410">
        <v>2016</v>
      </c>
      <c r="C14" s="411">
        <f>'Burden Inputs'!C25</f>
        <v>0.64600000000000002</v>
      </c>
      <c r="D14" s="412"/>
      <c r="E14" s="413">
        <f>'Burden Inputs'!K25</f>
        <v>0.33279999999999998</v>
      </c>
      <c r="F14" s="424"/>
      <c r="G14" s="413">
        <f>ROUND('Burden Inputs'!I25/'Burden Inputs'!M25,4)</f>
        <v>0.25030000000000002</v>
      </c>
      <c r="H14" s="425"/>
      <c r="I14" s="414">
        <f>'Burden Inputs'!Q25</f>
        <v>0.97310866000717433</v>
      </c>
      <c r="J14" s="426"/>
      <c r="K14" s="415">
        <f t="shared" si="3"/>
        <v>0.24360000000000001</v>
      </c>
      <c r="L14" s="427">
        <f>ROUND((C14+E14-1)*K14,6)</f>
        <v>-5.1640000000000002E-3</v>
      </c>
      <c r="O14" s="239">
        <v>-5.0000000000000001E-3</v>
      </c>
      <c r="P14" s="239">
        <f t="shared" si="2"/>
        <v>1.6400000000000008E-4</v>
      </c>
    </row>
    <row r="15" spans="2:16" ht="13.5" thickTop="1" x14ac:dyDescent="0.2"/>
    <row r="16" spans="2:16" ht="15" x14ac:dyDescent="0.25">
      <c r="B16" s="240" t="s">
        <v>23</v>
      </c>
      <c r="O16" s="353" t="s">
        <v>249</v>
      </c>
    </row>
    <row r="17" spans="2:15" ht="15" x14ac:dyDescent="0.25">
      <c r="B17" s="241" t="s">
        <v>354</v>
      </c>
      <c r="O17" s="353" t="s">
        <v>247</v>
      </c>
    </row>
    <row r="18" spans="2:15" ht="15" x14ac:dyDescent="0.25">
      <c r="B18" s="241" t="s">
        <v>353</v>
      </c>
      <c r="O18" s="353" t="s">
        <v>248</v>
      </c>
    </row>
    <row r="19" spans="2:15" ht="15" x14ac:dyDescent="0.25">
      <c r="B19" s="241" t="s">
        <v>359</v>
      </c>
      <c r="O19" s="353"/>
    </row>
    <row r="20" spans="2:15" ht="15" x14ac:dyDescent="0.25">
      <c r="B20" s="241" t="s">
        <v>358</v>
      </c>
      <c r="O20" s="353"/>
    </row>
    <row r="21" spans="2:15" ht="15" x14ac:dyDescent="0.25">
      <c r="B21" s="241" t="s">
        <v>352</v>
      </c>
    </row>
    <row r="22" spans="2:15" ht="15" x14ac:dyDescent="0.25">
      <c r="B22" s="241" t="s">
        <v>351</v>
      </c>
    </row>
    <row r="23" spans="2:15" ht="15" x14ac:dyDescent="0.25">
      <c r="B23" s="241" t="s">
        <v>350</v>
      </c>
      <c r="O23" s="353"/>
    </row>
    <row r="24" spans="2:15" ht="15" x14ac:dyDescent="0.25">
      <c r="B24" s="241" t="s">
        <v>348</v>
      </c>
      <c r="O24" s="353"/>
    </row>
    <row r="25" spans="2:15" ht="15" x14ac:dyDescent="0.25">
      <c r="B25" s="241" t="s">
        <v>357</v>
      </c>
    </row>
    <row r="26" spans="2:15" ht="15" x14ac:dyDescent="0.25">
      <c r="B26" s="241"/>
    </row>
    <row r="27" spans="2:15" ht="15" x14ac:dyDescent="0.25">
      <c r="B27" s="241" t="s">
        <v>101</v>
      </c>
    </row>
    <row r="28" spans="2:15" ht="15" x14ac:dyDescent="0.25">
      <c r="B28" s="241" t="s">
        <v>103</v>
      </c>
    </row>
    <row r="29" spans="2:15" ht="15" x14ac:dyDescent="0.25">
      <c r="B29" s="241" t="s">
        <v>102</v>
      </c>
    </row>
  </sheetData>
  <mergeCells count="9">
    <mergeCell ref="B3:B4"/>
    <mergeCell ref="C3:D4"/>
    <mergeCell ref="E3:F4"/>
    <mergeCell ref="I3:J4"/>
    <mergeCell ref="I2:J2"/>
    <mergeCell ref="C2:D2"/>
    <mergeCell ref="E2:F2"/>
    <mergeCell ref="G2:H2"/>
    <mergeCell ref="G3:H4"/>
  </mergeCells>
  <phoneticPr fontId="4" type="noConversion"/>
  <printOptions horizontalCentered="1"/>
  <pageMargins left="0.5" right="0.5" top="1" bottom="0.5" header="0.5" footer="0.5"/>
  <pageSetup orientation="landscape" r:id="rId1"/>
  <headerFooter alignWithMargins="0">
    <oddHeader>&amp;C&amp;"Verdana,Bold"&amp;12Residual Market Underwriting Results&amp;R&amp;"Verdana,Regular"Exhibit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499984740745262"/>
    <pageSetUpPr fitToPage="1"/>
  </sheetPr>
  <dimension ref="A1:DQ72"/>
  <sheetViews>
    <sheetView topLeftCell="B7" zoomScale="120" zoomScaleNormal="120" workbookViewId="0">
      <selection activeCell="K37" sqref="K37"/>
    </sheetView>
  </sheetViews>
  <sheetFormatPr defaultColWidth="7.7109375" defaultRowHeight="12.75" x14ac:dyDescent="0.2"/>
  <cols>
    <col min="1" max="15" width="7.7109375" style="396" customWidth="1"/>
    <col min="16" max="36" width="5.5703125" style="396" bestFit="1" customWidth="1"/>
    <col min="37" max="39" width="4.7109375" style="396" bestFit="1" customWidth="1"/>
    <col min="40" max="40" width="5.28515625" style="396" bestFit="1" customWidth="1"/>
    <col min="41" max="43" width="4.7109375" style="396" bestFit="1" customWidth="1"/>
    <col min="44" max="44" width="5.28515625" style="396" bestFit="1" customWidth="1"/>
    <col min="45" max="47" width="4.7109375" style="396" bestFit="1" customWidth="1"/>
    <col min="48" max="48" width="5.28515625" style="396" bestFit="1" customWidth="1"/>
    <col min="49" max="51" width="4.7109375" style="396" bestFit="1" customWidth="1"/>
    <col min="52" max="52" width="5.28515625" style="396" bestFit="1" customWidth="1"/>
    <col min="53" max="55" width="4.7109375" style="396" bestFit="1" customWidth="1"/>
    <col min="56" max="56" width="5.28515625" style="396" bestFit="1" customWidth="1"/>
    <col min="57" max="59" width="4.7109375" style="396" bestFit="1" customWidth="1"/>
    <col min="60" max="60" width="5.28515625" style="396" bestFit="1" customWidth="1"/>
    <col min="61" max="63" width="4.7109375" style="396" bestFit="1" customWidth="1"/>
    <col min="64" max="64" width="5.28515625" style="396" bestFit="1" customWidth="1"/>
    <col min="65" max="67" width="4.7109375" style="396" bestFit="1" customWidth="1"/>
    <col min="68" max="68" width="5.28515625" style="396" bestFit="1" customWidth="1"/>
    <col min="69" max="71" width="4.7109375" style="396" bestFit="1" customWidth="1"/>
    <col min="72" max="72" width="5.28515625" style="396" bestFit="1" customWidth="1"/>
    <col min="73" max="75" width="4.7109375" style="396" bestFit="1" customWidth="1"/>
    <col min="76" max="76" width="5.28515625" style="396" bestFit="1" customWidth="1"/>
    <col min="77" max="79" width="4.7109375" style="396" bestFit="1" customWidth="1"/>
    <col min="80" max="80" width="5.28515625" style="396" bestFit="1" customWidth="1"/>
    <col min="81" max="83" width="4.7109375" style="396" bestFit="1" customWidth="1"/>
    <col min="84" max="84" width="5.28515625" style="396" bestFit="1" customWidth="1"/>
    <col min="85" max="87" width="4.7109375" style="396" bestFit="1" customWidth="1"/>
    <col min="88" max="88" width="5.28515625" style="396" bestFit="1" customWidth="1"/>
    <col min="89" max="90" width="4.42578125" style="396" bestFit="1" customWidth="1"/>
    <col min="91" max="91" width="4.42578125" style="221" bestFit="1" customWidth="1"/>
    <col min="92" max="92" width="5.28515625" style="221" bestFit="1" customWidth="1"/>
    <col min="93" max="93" width="4.7109375" style="221" bestFit="1" customWidth="1"/>
    <col min="94" max="94" width="4.7109375" style="221" customWidth="1"/>
    <col min="95" max="95" width="4.85546875" style="221" customWidth="1"/>
    <col min="96" max="96" width="5.28515625" style="221" customWidth="1"/>
    <col min="97" max="97" width="5.42578125" style="221" customWidth="1"/>
    <col min="98" max="99" width="5.5703125" style="221" customWidth="1"/>
    <col min="100" max="101" width="5.28515625" style="221" customWidth="1"/>
    <col min="102" max="102" width="5.7109375" style="221" customWidth="1"/>
    <col min="103" max="103" width="5.5703125" style="221" customWidth="1"/>
    <col min="104" max="104" width="5.42578125" style="221" customWidth="1"/>
    <col min="105" max="105" width="5.28515625" style="221" customWidth="1"/>
    <col min="106" max="106" width="5.7109375" style="221" customWidth="1"/>
    <col min="107" max="107" width="5.5703125" style="221" customWidth="1"/>
    <col min="108" max="108" width="5.42578125" style="221" customWidth="1"/>
    <col min="109" max="109" width="5.28515625" style="221" customWidth="1"/>
    <col min="110" max="111" width="5.5703125" style="221" customWidth="1"/>
    <col min="112" max="112" width="5.42578125" style="221" customWidth="1"/>
    <col min="113" max="113" width="5.28515625" style="221" customWidth="1"/>
    <col min="114" max="115" width="5.5703125" style="221" customWidth="1"/>
    <col min="116" max="116" width="5.28515625" style="221" customWidth="1"/>
    <col min="117" max="117" width="5.140625" style="221" customWidth="1"/>
    <col min="118" max="119" width="5.5703125" style="221" customWidth="1"/>
    <col min="120" max="121" width="5.140625" style="221" customWidth="1"/>
    <col min="122" max="16384" width="7.7109375" style="221"/>
  </cols>
  <sheetData>
    <row r="1" s="221" customFormat="1" x14ac:dyDescent="0.2"/>
    <row r="2" s="221" customFormat="1" x14ac:dyDescent="0.2"/>
    <row r="3" s="221" customFormat="1" x14ac:dyDescent="0.2"/>
    <row r="4" s="221" customFormat="1" x14ac:dyDescent="0.2"/>
    <row r="5" s="221" customFormat="1" x14ac:dyDescent="0.2"/>
    <row r="6" s="221" customFormat="1" x14ac:dyDescent="0.2"/>
    <row r="7" s="221" customFormat="1" x14ac:dyDescent="0.2"/>
    <row r="8" s="221" customFormat="1" x14ac:dyDescent="0.2"/>
    <row r="9" s="221" customFormat="1" x14ac:dyDescent="0.2"/>
    <row r="10" s="221" customFormat="1" x14ac:dyDescent="0.2"/>
    <row r="11" s="221" customFormat="1" x14ac:dyDescent="0.2"/>
    <row r="12" s="221" customFormat="1" x14ac:dyDescent="0.2"/>
    <row r="13" s="221" customFormat="1" x14ac:dyDescent="0.2"/>
    <row r="14" s="221" customFormat="1" x14ac:dyDescent="0.2"/>
    <row r="15" s="221" customFormat="1" x14ac:dyDescent="0.2"/>
    <row r="16" s="221" customFormat="1" x14ac:dyDescent="0.2"/>
    <row r="17" s="221" customFormat="1" x14ac:dyDescent="0.2"/>
    <row r="18" s="221" customFormat="1" x14ac:dyDescent="0.2"/>
    <row r="19" s="221" customFormat="1" x14ac:dyDescent="0.2"/>
    <row r="20" s="221" customFormat="1" x14ac:dyDescent="0.2"/>
    <row r="21" s="221" customFormat="1" x14ac:dyDescent="0.2"/>
    <row r="22" s="221" customFormat="1" x14ac:dyDescent="0.2"/>
    <row r="23" s="221" customFormat="1" x14ac:dyDescent="0.2"/>
    <row r="24" s="221" customFormat="1" x14ac:dyDescent="0.2"/>
    <row r="25" s="221" customFormat="1" x14ac:dyDescent="0.2"/>
    <row r="26" s="221" customFormat="1" x14ac:dyDescent="0.2"/>
    <row r="27" s="221" customFormat="1" x14ac:dyDescent="0.2"/>
    <row r="28" s="221" customFormat="1" x14ac:dyDescent="0.2"/>
    <row r="29" s="221" customFormat="1" x14ac:dyDescent="0.2"/>
    <row r="30" s="221" customFormat="1" x14ac:dyDescent="0.2"/>
    <row r="31" s="221" customFormat="1" x14ac:dyDescent="0.2"/>
    <row r="32" s="221" customFormat="1" x14ac:dyDescent="0.2"/>
    <row r="33" spans="1:121" x14ac:dyDescent="0.2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21"/>
      <c r="BQ33" s="221"/>
      <c r="BR33" s="221"/>
      <c r="BS33" s="221"/>
      <c r="BT33" s="221"/>
      <c r="BU33" s="221"/>
      <c r="BV33" s="221"/>
      <c r="BW33" s="221"/>
      <c r="BX33" s="221"/>
      <c r="BY33" s="221"/>
      <c r="BZ33" s="221"/>
      <c r="CA33" s="221"/>
      <c r="CB33" s="221"/>
      <c r="CC33" s="221"/>
      <c r="CD33" s="221"/>
      <c r="CE33" s="221"/>
      <c r="CF33" s="221"/>
      <c r="CG33" s="221"/>
      <c r="CH33" s="221"/>
      <c r="CI33" s="221"/>
      <c r="CJ33" s="221"/>
      <c r="CK33" s="221"/>
      <c r="CL33" s="221"/>
    </row>
    <row r="34" spans="1:121" x14ac:dyDescent="0.2">
      <c r="A34" s="221"/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1"/>
      <c r="BN34" s="221"/>
      <c r="BO34" s="221"/>
      <c r="BP34" s="221"/>
      <c r="BQ34" s="221"/>
      <c r="BR34" s="221"/>
      <c r="BS34" s="221"/>
      <c r="BT34" s="221"/>
      <c r="BU34" s="221"/>
      <c r="BV34" s="221"/>
      <c r="BW34" s="221"/>
      <c r="BX34" s="221"/>
      <c r="BY34" s="221"/>
      <c r="BZ34" s="221"/>
      <c r="CA34" s="221"/>
      <c r="CB34" s="221"/>
      <c r="CC34" s="221"/>
      <c r="CD34" s="221"/>
      <c r="CE34" s="221"/>
      <c r="CF34" s="221"/>
      <c r="CG34" s="221"/>
      <c r="CH34" s="221"/>
      <c r="CI34" s="221"/>
      <c r="CJ34" s="221"/>
      <c r="CK34" s="221"/>
      <c r="CL34" s="221"/>
    </row>
    <row r="35" spans="1:121" x14ac:dyDescent="0.2">
      <c r="A35" s="221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221"/>
      <c r="BY35" s="221"/>
      <c r="BZ35" s="221"/>
      <c r="CA35" s="221"/>
      <c r="CB35" s="221"/>
      <c r="CC35" s="221"/>
      <c r="CD35" s="221"/>
      <c r="CE35" s="221"/>
      <c r="CF35" s="221"/>
      <c r="CG35" s="221"/>
      <c r="CH35" s="221"/>
      <c r="CI35" s="221"/>
      <c r="CJ35" s="221"/>
      <c r="CK35" s="221"/>
      <c r="CL35" s="221"/>
    </row>
    <row r="36" spans="1:121" x14ac:dyDescent="0.2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1"/>
      <c r="BR36" s="221"/>
      <c r="BS36" s="221"/>
      <c r="BT36" s="221"/>
      <c r="BU36" s="221"/>
      <c r="BV36" s="221"/>
      <c r="BW36" s="221"/>
      <c r="BX36" s="221"/>
      <c r="BY36" s="221"/>
      <c r="BZ36" s="221"/>
      <c r="CA36" s="221"/>
      <c r="CB36" s="221"/>
      <c r="CC36" s="221"/>
      <c r="CD36" s="221"/>
      <c r="CE36" s="221"/>
      <c r="CF36" s="221"/>
      <c r="CG36" s="221"/>
      <c r="CH36" s="221"/>
      <c r="CI36" s="221"/>
      <c r="CJ36" s="221"/>
      <c r="CK36" s="221"/>
      <c r="CL36" s="221"/>
    </row>
    <row r="37" spans="1:121" x14ac:dyDescent="0.2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1"/>
      <c r="BO37" s="221"/>
      <c r="BP37" s="221"/>
      <c r="BQ37" s="221"/>
      <c r="BR37" s="221"/>
      <c r="BS37" s="221"/>
      <c r="BT37" s="221"/>
      <c r="BU37" s="221"/>
      <c r="BV37" s="221"/>
      <c r="BW37" s="221"/>
      <c r="BX37" s="221"/>
      <c r="BY37" s="221"/>
      <c r="BZ37" s="221"/>
      <c r="CA37" s="221"/>
      <c r="CB37" s="221"/>
      <c r="CC37" s="221"/>
      <c r="CD37" s="221"/>
      <c r="CE37" s="221"/>
      <c r="CF37" s="221"/>
      <c r="CG37" s="221"/>
      <c r="CH37" s="221"/>
      <c r="CI37" s="221"/>
      <c r="CJ37" s="221"/>
      <c r="CK37" s="221"/>
      <c r="CL37" s="221"/>
    </row>
    <row r="38" spans="1:121" x14ac:dyDescent="0.2">
      <c r="A38" s="221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  <c r="CA38" s="221"/>
      <c r="CB38" s="221"/>
      <c r="CC38" s="221"/>
      <c r="CD38" s="221"/>
      <c r="CE38" s="221"/>
      <c r="CF38" s="221"/>
      <c r="CG38" s="221"/>
      <c r="CH38" s="221"/>
      <c r="CI38" s="221"/>
      <c r="CJ38" s="221"/>
      <c r="CK38" s="221"/>
      <c r="CL38" s="221"/>
    </row>
    <row r="39" spans="1:121" x14ac:dyDescent="0.2">
      <c r="A39" s="221"/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42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/>
      <c r="CH39" s="221"/>
      <c r="CI39" s="221"/>
      <c r="CJ39" s="221"/>
      <c r="CK39" s="221"/>
      <c r="CL39" s="221"/>
    </row>
    <row r="40" spans="1:121" x14ac:dyDescent="0.2">
      <c r="B40" s="397">
        <v>35246</v>
      </c>
      <c r="C40" s="397">
        <v>35338</v>
      </c>
      <c r="D40" s="397">
        <v>35430</v>
      </c>
      <c r="E40" s="397">
        <v>35520</v>
      </c>
      <c r="F40" s="397">
        <v>35611</v>
      </c>
      <c r="G40" s="397">
        <v>35703</v>
      </c>
      <c r="H40" s="397">
        <v>35795</v>
      </c>
      <c r="I40" s="397">
        <v>35885</v>
      </c>
      <c r="J40" s="397">
        <v>35976</v>
      </c>
      <c r="K40" s="397">
        <v>36068</v>
      </c>
      <c r="L40" s="397">
        <v>36160</v>
      </c>
      <c r="M40" s="397">
        <v>36250</v>
      </c>
      <c r="N40" s="397">
        <v>36341</v>
      </c>
      <c r="O40" s="397">
        <v>36433</v>
      </c>
      <c r="P40" s="397">
        <v>36525</v>
      </c>
      <c r="Q40" s="397">
        <v>36616</v>
      </c>
      <c r="R40" s="397">
        <v>36707</v>
      </c>
      <c r="S40" s="397">
        <v>36799</v>
      </c>
      <c r="T40" s="397">
        <v>36891</v>
      </c>
      <c r="U40" s="397">
        <v>36981</v>
      </c>
      <c r="V40" s="397">
        <v>37072</v>
      </c>
      <c r="W40" s="397">
        <v>37164</v>
      </c>
      <c r="X40" s="397">
        <v>37256</v>
      </c>
      <c r="Y40" s="397">
        <v>37346</v>
      </c>
      <c r="Z40" s="397">
        <v>37437</v>
      </c>
      <c r="AA40" s="397">
        <v>37529</v>
      </c>
      <c r="AB40" s="397">
        <v>37621</v>
      </c>
      <c r="AC40" s="397">
        <v>37711</v>
      </c>
      <c r="AD40" s="397">
        <v>37802</v>
      </c>
      <c r="AE40" s="397">
        <v>37894</v>
      </c>
      <c r="AF40" s="397">
        <v>37986</v>
      </c>
      <c r="AG40" s="397">
        <v>38077</v>
      </c>
      <c r="AH40" s="397">
        <v>38168</v>
      </c>
      <c r="AI40" s="397">
        <v>38260</v>
      </c>
      <c r="AJ40" s="397">
        <v>38352</v>
      </c>
      <c r="AK40" s="397">
        <v>38442</v>
      </c>
      <c r="AL40" s="397">
        <v>38533</v>
      </c>
      <c r="AM40" s="397">
        <v>38625</v>
      </c>
      <c r="AN40" s="397">
        <v>38717</v>
      </c>
      <c r="AO40" s="397">
        <v>38807</v>
      </c>
      <c r="AP40" s="397">
        <v>38898</v>
      </c>
      <c r="AQ40" s="397">
        <v>38990</v>
      </c>
      <c r="AR40" s="397">
        <v>39082</v>
      </c>
      <c r="AS40" s="397">
        <v>39172</v>
      </c>
      <c r="AT40" s="397">
        <v>39263</v>
      </c>
      <c r="AU40" s="397">
        <v>39355</v>
      </c>
      <c r="AV40" s="397">
        <v>39447</v>
      </c>
      <c r="AW40" s="397">
        <v>39538</v>
      </c>
      <c r="AX40" s="397">
        <v>39629</v>
      </c>
      <c r="AY40" s="397">
        <v>39721</v>
      </c>
      <c r="AZ40" s="397">
        <v>39813</v>
      </c>
      <c r="BA40" s="397">
        <v>39903</v>
      </c>
      <c r="BB40" s="397">
        <v>39994</v>
      </c>
      <c r="BC40" s="397">
        <v>40086</v>
      </c>
      <c r="BD40" s="397">
        <v>40178</v>
      </c>
      <c r="BE40" s="397">
        <v>40268</v>
      </c>
      <c r="BF40" s="397">
        <v>40359</v>
      </c>
      <c r="BG40" s="397">
        <v>40451</v>
      </c>
      <c r="BH40" s="397">
        <v>40543</v>
      </c>
      <c r="BI40" s="397">
        <v>40633</v>
      </c>
      <c r="BJ40" s="397">
        <v>40724</v>
      </c>
      <c r="BK40" s="397">
        <v>40816</v>
      </c>
      <c r="BL40" s="397">
        <v>40908</v>
      </c>
      <c r="BM40" s="397">
        <v>40999</v>
      </c>
      <c r="BN40" s="397">
        <v>41090</v>
      </c>
      <c r="BO40" s="397">
        <v>41182</v>
      </c>
      <c r="BP40" s="397">
        <v>41274</v>
      </c>
      <c r="BQ40" s="397">
        <v>41364</v>
      </c>
      <c r="BR40" s="397">
        <v>41455</v>
      </c>
      <c r="BS40" s="397">
        <v>41547</v>
      </c>
      <c r="BT40" s="397">
        <v>41639</v>
      </c>
      <c r="BU40" s="397">
        <v>41729</v>
      </c>
      <c r="BV40" s="397">
        <v>41820</v>
      </c>
      <c r="BW40" s="397">
        <v>41912</v>
      </c>
      <c r="BX40" s="397">
        <v>42004</v>
      </c>
      <c r="BY40" s="397">
        <v>42094</v>
      </c>
      <c r="BZ40" s="397">
        <v>42185</v>
      </c>
      <c r="CA40" s="397">
        <v>42277</v>
      </c>
      <c r="CB40" s="397">
        <v>42369</v>
      </c>
      <c r="CC40" s="397">
        <v>42460</v>
      </c>
      <c r="CD40" s="397">
        <v>42551</v>
      </c>
      <c r="CE40" s="397">
        <v>42643</v>
      </c>
      <c r="CF40" s="397">
        <v>42735</v>
      </c>
      <c r="CG40" s="397">
        <v>42825</v>
      </c>
      <c r="CH40" s="397">
        <v>42916</v>
      </c>
      <c r="CI40" s="397">
        <v>43008</v>
      </c>
      <c r="CJ40" s="397">
        <v>43100</v>
      </c>
      <c r="CK40" s="397">
        <v>43190</v>
      </c>
      <c r="CL40" s="397">
        <v>43281</v>
      </c>
      <c r="CM40" s="397">
        <v>43373</v>
      </c>
      <c r="CN40" s="397">
        <v>43465</v>
      </c>
      <c r="CO40" s="397">
        <v>43555</v>
      </c>
      <c r="CP40" s="397">
        <v>43646</v>
      </c>
      <c r="CQ40" s="397">
        <v>43738</v>
      </c>
      <c r="CR40" s="397">
        <v>43830</v>
      </c>
      <c r="CS40" s="397">
        <v>43921</v>
      </c>
      <c r="CT40" s="397">
        <v>44012</v>
      </c>
      <c r="CU40" s="397">
        <v>44104</v>
      </c>
      <c r="CV40" s="397">
        <v>44196</v>
      </c>
      <c r="CW40" s="397">
        <v>44286</v>
      </c>
      <c r="CX40" s="397">
        <v>44377</v>
      </c>
      <c r="CY40" s="397">
        <v>44469</v>
      </c>
      <c r="CZ40" s="397">
        <v>44561</v>
      </c>
      <c r="DA40" s="397">
        <v>44651</v>
      </c>
      <c r="DB40" s="397">
        <v>44742</v>
      </c>
      <c r="DC40" s="397">
        <v>44834</v>
      </c>
      <c r="DD40" s="397">
        <v>44926</v>
      </c>
      <c r="DE40" s="397">
        <v>45016</v>
      </c>
      <c r="DF40" s="397">
        <v>45107</v>
      </c>
      <c r="DG40" s="397">
        <v>45199</v>
      </c>
      <c r="DH40" s="397">
        <v>45291</v>
      </c>
      <c r="DI40" s="397">
        <v>45382</v>
      </c>
      <c r="DJ40" s="397">
        <v>45473</v>
      </c>
      <c r="DK40" s="397">
        <v>45565</v>
      </c>
      <c r="DL40" s="397">
        <v>45657</v>
      </c>
      <c r="DM40" s="397">
        <v>45747</v>
      </c>
      <c r="DN40" s="397">
        <v>45838</v>
      </c>
      <c r="DO40" s="397">
        <v>45930</v>
      </c>
      <c r="DP40" s="397">
        <v>46022</v>
      </c>
      <c r="DQ40" s="397">
        <v>46112</v>
      </c>
    </row>
    <row r="41" spans="1:121" x14ac:dyDescent="0.2">
      <c r="A41" s="398" t="s">
        <v>355</v>
      </c>
      <c r="B41" s="399"/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  <c r="BW41" s="399"/>
      <c r="BX41" s="399"/>
      <c r="BY41" s="399"/>
      <c r="BZ41" s="399"/>
      <c r="CA41" s="399"/>
      <c r="CB41" s="399"/>
      <c r="CC41" s="399"/>
      <c r="CD41" s="399"/>
      <c r="CE41" s="399"/>
      <c r="CF41" s="399"/>
      <c r="CG41" s="399"/>
      <c r="CH41" s="399"/>
      <c r="CI41" s="399"/>
      <c r="CJ41" s="399"/>
      <c r="CK41" s="399"/>
      <c r="CL41" s="399"/>
      <c r="CM41" s="399"/>
      <c r="CN41" s="399"/>
      <c r="CO41" s="399"/>
      <c r="CP41" s="399"/>
      <c r="CQ41" s="399"/>
      <c r="CR41" s="399"/>
      <c r="CS41" s="399"/>
      <c r="CT41" s="399"/>
      <c r="CU41" s="399"/>
      <c r="CV41" s="399"/>
      <c r="CW41" s="399"/>
      <c r="CX41" s="399"/>
      <c r="CY41" s="399"/>
      <c r="CZ41" s="399"/>
      <c r="DA41" s="399"/>
      <c r="DB41" s="399"/>
      <c r="DC41" s="399"/>
      <c r="DD41" s="399"/>
      <c r="DE41" s="399"/>
      <c r="DF41" s="399"/>
      <c r="DG41" s="399"/>
      <c r="DH41" s="399"/>
      <c r="DI41" s="399"/>
      <c r="DJ41" s="399"/>
      <c r="DK41" s="399"/>
      <c r="DL41" s="399"/>
      <c r="DM41" s="399"/>
      <c r="DN41" s="399"/>
      <c r="DO41" s="399"/>
      <c r="DP41" s="406">
        <v>2.1488E-2</v>
      </c>
      <c r="DQ41" s="406">
        <v>2.2671E-2</v>
      </c>
    </row>
    <row r="42" spans="1:121" x14ac:dyDescent="0.2">
      <c r="A42" s="398" t="s">
        <v>347</v>
      </c>
      <c r="B42" s="399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  <c r="BW42" s="399"/>
      <c r="BX42" s="399"/>
      <c r="BY42" s="399"/>
      <c r="BZ42" s="399"/>
      <c r="CA42" s="399"/>
      <c r="CB42" s="399"/>
      <c r="CC42" s="399"/>
      <c r="CD42" s="399"/>
      <c r="CE42" s="399"/>
      <c r="CF42" s="399"/>
      <c r="CG42" s="399"/>
      <c r="CH42" s="399"/>
      <c r="CI42" s="399"/>
      <c r="CJ42" s="399"/>
      <c r="CK42" s="399"/>
      <c r="CL42" s="399"/>
      <c r="CM42" s="399"/>
      <c r="CN42" s="399"/>
      <c r="CO42" s="399"/>
      <c r="CP42" s="399"/>
      <c r="CQ42" s="399"/>
      <c r="CR42" s="399"/>
      <c r="CS42" s="399"/>
      <c r="CT42" s="399"/>
      <c r="CU42" s="399"/>
      <c r="CV42" s="399"/>
      <c r="CW42" s="399"/>
      <c r="CX42" s="399"/>
      <c r="CY42" s="399"/>
      <c r="CZ42" s="399"/>
      <c r="DA42" s="399"/>
      <c r="DB42" s="399"/>
      <c r="DC42" s="399"/>
      <c r="DD42" s="399"/>
      <c r="DE42" s="399"/>
      <c r="DF42" s="399"/>
      <c r="DG42" s="399"/>
      <c r="DH42" s="399"/>
      <c r="DI42" s="399"/>
      <c r="DJ42" s="399"/>
      <c r="DK42" s="406"/>
      <c r="DL42" s="406">
        <v>1.5507E-2</v>
      </c>
      <c r="DM42" s="406">
        <v>2.1302999999999999E-2</v>
      </c>
      <c r="DN42" s="406">
        <v>2.1302999999999999E-2</v>
      </c>
      <c r="DO42" s="406">
        <v>2.7432000000000002E-2</v>
      </c>
      <c r="DP42" s="406">
        <v>2.9405000000000001E-2</v>
      </c>
      <c r="DQ42" s="406">
        <v>2.8766E-2</v>
      </c>
    </row>
    <row r="43" spans="1:121" x14ac:dyDescent="0.2">
      <c r="A43" s="398" t="s">
        <v>346</v>
      </c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  <c r="BW43" s="399"/>
      <c r="BX43" s="399"/>
      <c r="BY43" s="399"/>
      <c r="BZ43" s="399"/>
      <c r="CA43" s="399"/>
      <c r="CB43" s="399"/>
      <c r="CC43" s="399"/>
      <c r="CD43" s="399"/>
      <c r="CE43" s="399"/>
      <c r="CF43" s="399"/>
      <c r="CG43" s="399"/>
      <c r="CH43" s="399"/>
      <c r="CI43" s="399"/>
      <c r="CJ43" s="399"/>
      <c r="CK43" s="399"/>
      <c r="CL43" s="399"/>
      <c r="CM43" s="399"/>
      <c r="CN43" s="399"/>
      <c r="CO43" s="399"/>
      <c r="CP43" s="399"/>
      <c r="CQ43" s="399"/>
      <c r="CR43" s="399"/>
      <c r="CS43" s="399"/>
      <c r="CT43" s="399"/>
      <c r="CU43" s="399"/>
      <c r="CV43" s="399"/>
      <c r="CW43" s="399"/>
      <c r="CX43" s="399"/>
      <c r="CY43" s="399"/>
      <c r="CZ43" s="399"/>
      <c r="DA43" s="399"/>
      <c r="DB43" s="399"/>
      <c r="DC43" s="399"/>
      <c r="DD43" s="399"/>
      <c r="DE43" s="399"/>
      <c r="DF43" s="399"/>
      <c r="DG43" s="399"/>
      <c r="DH43" s="406">
        <v>1.7034000000000001E-2</v>
      </c>
      <c r="DI43" s="406">
        <v>1.6230000000000001E-2</v>
      </c>
      <c r="DJ43" s="406">
        <v>1.6118E-2</v>
      </c>
      <c r="DK43" s="406">
        <v>1.6159E-2</v>
      </c>
      <c r="DL43" s="406">
        <v>1.5537E-2</v>
      </c>
      <c r="DM43" s="406">
        <v>1.9746E-2</v>
      </c>
      <c r="DN43" s="406">
        <v>1.9746E-2</v>
      </c>
      <c r="DO43" s="406">
        <v>1.8173000000000002E-2</v>
      </c>
      <c r="DP43" s="406">
        <v>1.8147E-2</v>
      </c>
      <c r="DQ43" s="406">
        <v>1.8147E-2</v>
      </c>
    </row>
    <row r="44" spans="1:121" x14ac:dyDescent="0.2">
      <c r="A44" s="398" t="s">
        <v>337</v>
      </c>
      <c r="B44" s="399"/>
      <c r="C44" s="399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  <c r="BW44" s="399"/>
      <c r="BX44" s="399"/>
      <c r="BY44" s="399"/>
      <c r="BZ44" s="399"/>
      <c r="CA44" s="399"/>
      <c r="CB44" s="399"/>
      <c r="CC44" s="399"/>
      <c r="CD44" s="399"/>
      <c r="CE44" s="399"/>
      <c r="CF44" s="399"/>
      <c r="CG44" s="399"/>
      <c r="CH44" s="399"/>
      <c r="CI44" s="399"/>
      <c r="CJ44" s="399"/>
      <c r="CK44" s="399"/>
      <c r="CL44" s="399"/>
      <c r="CM44" s="399"/>
      <c r="CN44" s="399"/>
      <c r="CO44" s="399"/>
      <c r="CP44" s="399"/>
      <c r="CQ44" s="399"/>
      <c r="CR44" s="399"/>
      <c r="CS44" s="399"/>
      <c r="CT44" s="399"/>
      <c r="CU44" s="399"/>
      <c r="CV44" s="399"/>
      <c r="CW44" s="399"/>
      <c r="CX44" s="399"/>
      <c r="CY44" s="399"/>
      <c r="CZ44" s="399"/>
      <c r="DA44" s="399"/>
      <c r="DB44" s="399"/>
      <c r="DC44" s="399"/>
      <c r="DD44" s="406">
        <v>1.9487000000000001E-2</v>
      </c>
      <c r="DE44" s="406">
        <v>1.7186E-2</v>
      </c>
      <c r="DF44" s="406">
        <v>1.7207E-2</v>
      </c>
      <c r="DG44" s="406">
        <v>1.7330999999999999E-2</v>
      </c>
      <c r="DH44" s="406">
        <v>1.3636000000000001E-2</v>
      </c>
      <c r="DI44" s="406">
        <v>1.3015000000000001E-2</v>
      </c>
      <c r="DJ44" s="406">
        <v>1.3086E-2</v>
      </c>
      <c r="DK44" s="406">
        <v>1.2205000000000001E-2</v>
      </c>
      <c r="DL44" s="406">
        <v>1.2152E-2</v>
      </c>
      <c r="DM44" s="406">
        <v>1.5068E-2</v>
      </c>
      <c r="DN44" s="406">
        <v>1.5068E-2</v>
      </c>
      <c r="DO44" s="406">
        <v>1.5068E-2</v>
      </c>
      <c r="DP44" s="406">
        <v>1.5068E-2</v>
      </c>
      <c r="DQ44" s="406">
        <v>2.0278000000000001E-2</v>
      </c>
    </row>
    <row r="45" spans="1:121" x14ac:dyDescent="0.2">
      <c r="A45" s="398" t="s">
        <v>333</v>
      </c>
      <c r="B45" s="399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  <c r="BW45" s="399"/>
      <c r="BX45" s="399"/>
      <c r="BY45" s="399"/>
      <c r="BZ45" s="399"/>
      <c r="CA45" s="399"/>
      <c r="CB45" s="399"/>
      <c r="CC45" s="399"/>
      <c r="CD45" s="399"/>
      <c r="CE45" s="399"/>
      <c r="CF45" s="399"/>
      <c r="CG45" s="399"/>
      <c r="CH45" s="399"/>
      <c r="CI45" s="399"/>
      <c r="CJ45" s="399"/>
      <c r="CK45" s="399"/>
      <c r="CL45" s="399"/>
      <c r="CM45" s="399"/>
      <c r="CN45" s="399"/>
      <c r="CO45" s="399"/>
      <c r="CP45" s="399"/>
      <c r="CQ45" s="399"/>
      <c r="CR45" s="399"/>
      <c r="CS45" s="399"/>
      <c r="CT45" s="399"/>
      <c r="CU45" s="399"/>
      <c r="CV45" s="399"/>
      <c r="CW45" s="399"/>
      <c r="CX45" s="399"/>
      <c r="CY45" s="399"/>
      <c r="CZ45" s="406">
        <v>3.9813000000000001E-2</v>
      </c>
      <c r="DA45" s="406">
        <v>2.7865999999999998E-2</v>
      </c>
      <c r="DB45" s="406">
        <v>2.8174000000000001E-2</v>
      </c>
      <c r="DC45" s="406">
        <v>2.8514999999999999E-2</v>
      </c>
      <c r="DD45" s="406">
        <v>3.0953000000000001E-2</v>
      </c>
      <c r="DE45" s="406">
        <v>3.1230999999999998E-2</v>
      </c>
      <c r="DF45" s="406">
        <v>3.0324E-2</v>
      </c>
      <c r="DG45" s="406">
        <v>3.1253000000000003E-2</v>
      </c>
      <c r="DH45" s="406">
        <v>3.1150000000000001E-2</v>
      </c>
      <c r="DI45" s="406">
        <v>3.1219E-2</v>
      </c>
      <c r="DJ45" s="406">
        <v>3.5210999999999999E-2</v>
      </c>
      <c r="DK45" s="406">
        <v>4.2285999999999997E-2</v>
      </c>
      <c r="DL45" s="406">
        <v>4.6161000000000001E-2</v>
      </c>
      <c r="DM45" s="406">
        <v>4.6261999999999998E-2</v>
      </c>
      <c r="DN45" s="406">
        <v>4.6261999999999998E-2</v>
      </c>
      <c r="DO45" s="406">
        <v>4.6237E-2</v>
      </c>
      <c r="DP45" s="406">
        <v>5.4137999999999999E-2</v>
      </c>
      <c r="DQ45" s="406">
        <v>5.4168000000000001E-2</v>
      </c>
    </row>
    <row r="46" spans="1:121" x14ac:dyDescent="0.2">
      <c r="A46" s="398" t="s">
        <v>330</v>
      </c>
      <c r="B46" s="399"/>
      <c r="C46" s="399"/>
      <c r="D46" s="399"/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  <c r="BW46" s="399"/>
      <c r="BX46" s="399"/>
      <c r="BY46" s="399"/>
      <c r="BZ46" s="399"/>
      <c r="CA46" s="399"/>
      <c r="CB46" s="399"/>
      <c r="CC46" s="399"/>
      <c r="CD46" s="399"/>
      <c r="CE46" s="399"/>
      <c r="CF46" s="399"/>
      <c r="CG46" s="399"/>
      <c r="CH46" s="399"/>
      <c r="CI46" s="399"/>
      <c r="CJ46" s="399"/>
      <c r="CK46" s="399"/>
      <c r="CL46" s="399"/>
      <c r="CM46" s="399"/>
      <c r="CN46" s="399"/>
      <c r="CO46" s="399"/>
      <c r="CP46" s="399"/>
      <c r="CQ46" s="399"/>
      <c r="CR46" s="399"/>
      <c r="CS46" s="399"/>
      <c r="CT46" s="399"/>
      <c r="CU46" s="399"/>
      <c r="CV46" s="406">
        <v>1.2855999999999999E-2</v>
      </c>
      <c r="CW46" s="406">
        <v>1.3350000000000001E-2</v>
      </c>
      <c r="CX46" s="406">
        <v>1.1089999999999999E-2</v>
      </c>
      <c r="CY46" s="406">
        <v>6.1500000000000001E-3</v>
      </c>
      <c r="CZ46" s="406">
        <v>-2.2680000000000001E-3</v>
      </c>
      <c r="DA46" s="406">
        <v>1.6019999999999999E-3</v>
      </c>
      <c r="DB46" s="406">
        <v>-1.882E-3</v>
      </c>
      <c r="DC46" s="406">
        <v>-1.735E-3</v>
      </c>
      <c r="DD46" s="406">
        <v>-3.7390000000000001E-3</v>
      </c>
      <c r="DE46" s="406">
        <v>-3.7269999999999998E-3</v>
      </c>
      <c r="DF46" s="406">
        <v>-4.3119999999999999E-3</v>
      </c>
      <c r="DG46" s="406">
        <v>-3.3960000000000001E-3</v>
      </c>
      <c r="DH46" s="406">
        <v>-3.3960000000000001E-3</v>
      </c>
      <c r="DI46" s="406">
        <v>-3.3960000000000001E-3</v>
      </c>
      <c r="DJ46" s="406">
        <v>-5.6599999999999999E-4</v>
      </c>
      <c r="DK46" s="406">
        <v>2.5379999999999999E-3</v>
      </c>
      <c r="DL46" s="406">
        <v>2.5370000000000002E-3</v>
      </c>
      <c r="DM46" s="406">
        <v>2.5379999999999999E-3</v>
      </c>
      <c r="DN46" s="406">
        <v>2.5379999999999999E-3</v>
      </c>
      <c r="DO46" s="406">
        <v>2.5370000000000002E-3</v>
      </c>
      <c r="DP46" s="406">
        <v>2.4290000000000002E-3</v>
      </c>
      <c r="DQ46" s="406">
        <v>2.447E-3</v>
      </c>
    </row>
    <row r="47" spans="1:121" x14ac:dyDescent="0.2">
      <c r="A47" s="398" t="s">
        <v>324</v>
      </c>
      <c r="B47" s="399"/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  <c r="BW47" s="399"/>
      <c r="BX47" s="399"/>
      <c r="BY47" s="399"/>
      <c r="BZ47" s="399"/>
      <c r="CA47" s="399"/>
      <c r="CB47" s="399"/>
      <c r="CC47" s="399"/>
      <c r="CD47" s="399"/>
      <c r="CE47" s="399"/>
      <c r="CF47" s="399"/>
      <c r="CG47" s="399"/>
      <c r="CH47" s="399"/>
      <c r="CI47" s="399"/>
      <c r="CJ47" s="399"/>
      <c r="CK47" s="399"/>
      <c r="CL47" s="399"/>
      <c r="CM47" s="399"/>
      <c r="CN47" s="399"/>
      <c r="CO47" s="399"/>
      <c r="CP47" s="399"/>
      <c r="CQ47" s="399"/>
      <c r="CR47" s="406">
        <v>1.9817000000000001E-2</v>
      </c>
      <c r="CS47" s="406">
        <v>1.4271000000000001E-2</v>
      </c>
      <c r="CT47" s="406">
        <v>1.4201E-2</v>
      </c>
      <c r="CU47" s="406">
        <v>8.9800000000000001E-3</v>
      </c>
      <c r="CV47" s="406">
        <v>2.7390000000000001E-3</v>
      </c>
      <c r="CW47" s="406">
        <v>2.0339999999999998E-3</v>
      </c>
      <c r="CX47" s="406">
        <v>-2.248E-3</v>
      </c>
      <c r="CY47" s="406">
        <v>-1.243E-3</v>
      </c>
      <c r="CZ47" s="406">
        <v>-1.856E-3</v>
      </c>
      <c r="DA47" s="406">
        <v>-2.4750000000000002E-3</v>
      </c>
      <c r="DB47" s="406">
        <v>-2.4729999999999999E-3</v>
      </c>
      <c r="DC47" s="406">
        <v>-4.15E-4</v>
      </c>
      <c r="DD47" s="406">
        <v>1.645E-3</v>
      </c>
      <c r="DE47" s="406">
        <v>1.6410000000000001E-3</v>
      </c>
      <c r="DF47" s="406">
        <v>1.6410000000000001E-3</v>
      </c>
      <c r="DG47" s="406">
        <v>3.055E-3</v>
      </c>
      <c r="DH47" s="406">
        <v>3.055E-3</v>
      </c>
      <c r="DI47" s="406">
        <v>5.1139999999999996E-3</v>
      </c>
      <c r="DJ47" s="406">
        <v>9.2090000000000002E-3</v>
      </c>
      <c r="DK47" s="406">
        <v>9.2090000000000002E-3</v>
      </c>
      <c r="DL47" s="406">
        <v>1.1284000000000001E-2</v>
      </c>
      <c r="DM47" s="406">
        <v>1.1284000000000001E-2</v>
      </c>
      <c r="DN47" s="406">
        <v>1.1284000000000001E-2</v>
      </c>
      <c r="DO47" s="406">
        <v>1.1322E-2</v>
      </c>
      <c r="DP47" s="406">
        <v>1.1416000000000001E-2</v>
      </c>
      <c r="DQ47" s="406">
        <v>1.1422E-2</v>
      </c>
    </row>
    <row r="48" spans="1:121" x14ac:dyDescent="0.2">
      <c r="A48" s="398" t="s">
        <v>323</v>
      </c>
      <c r="B48" s="399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  <c r="BW48" s="399"/>
      <c r="BX48" s="399"/>
      <c r="BY48" s="399"/>
      <c r="BZ48" s="399"/>
      <c r="CA48" s="399"/>
      <c r="CB48" s="399"/>
      <c r="CC48" s="399"/>
      <c r="CD48" s="399"/>
      <c r="CE48" s="399"/>
      <c r="CF48" s="399"/>
      <c r="CG48" s="399"/>
      <c r="CH48" s="399"/>
      <c r="CI48" s="399"/>
      <c r="CJ48" s="399"/>
      <c r="CK48" s="399"/>
      <c r="CL48" s="399"/>
      <c r="CM48" s="399"/>
      <c r="CN48" s="400">
        <v>7.8220000000000008E-3</v>
      </c>
      <c r="CO48" s="400">
        <v>1.5664999999999998E-2</v>
      </c>
      <c r="CP48" s="406">
        <v>1.5476999999999999E-2</v>
      </c>
      <c r="CQ48" s="406">
        <v>1.5417E-2</v>
      </c>
      <c r="CR48" s="406">
        <v>1.3599999999999999E-2</v>
      </c>
      <c r="CS48" s="406">
        <v>1.4492E-2</v>
      </c>
      <c r="CT48" s="406">
        <v>1.2957E-2</v>
      </c>
      <c r="CU48" s="406">
        <v>1.2208999999999999E-2</v>
      </c>
      <c r="CV48" s="406">
        <v>1.1410999999999999E-2</v>
      </c>
      <c r="CW48" s="406">
        <v>1.0932000000000001E-2</v>
      </c>
      <c r="CX48" s="406">
        <v>1.0932000000000001E-2</v>
      </c>
      <c r="CY48" s="406">
        <v>1.4385999999999999E-2</v>
      </c>
      <c r="CZ48" s="406">
        <v>1.6466999999999999E-2</v>
      </c>
      <c r="DA48" s="406">
        <v>1.6490000000000001E-2</v>
      </c>
      <c r="DB48" s="406">
        <v>1.8852000000000001E-2</v>
      </c>
      <c r="DC48" s="406">
        <v>1.8852000000000001E-2</v>
      </c>
      <c r="DD48" s="406">
        <v>1.8860999999999999E-2</v>
      </c>
      <c r="DE48" s="406">
        <v>1.9040000000000001E-2</v>
      </c>
      <c r="DF48" s="406">
        <v>2.1437999999999999E-2</v>
      </c>
      <c r="DG48" s="406">
        <v>2.1447999999999998E-2</v>
      </c>
      <c r="DH48" s="406">
        <v>2.0899000000000001E-2</v>
      </c>
      <c r="DI48" s="406">
        <v>2.3355000000000001E-2</v>
      </c>
      <c r="DJ48" s="406">
        <v>2.3344E-2</v>
      </c>
      <c r="DK48" s="406">
        <v>2.3344E-2</v>
      </c>
      <c r="DL48" s="406">
        <v>2.3366000000000001E-2</v>
      </c>
      <c r="DM48" s="406">
        <v>2.3376999999999998E-2</v>
      </c>
      <c r="DN48" s="406">
        <v>2.3376999999999998E-2</v>
      </c>
      <c r="DO48" s="406">
        <v>2.1018999999999999E-2</v>
      </c>
      <c r="DP48" s="406">
        <v>2.1194000000000001E-2</v>
      </c>
      <c r="DQ48" s="406">
        <v>2.1194000000000001E-2</v>
      </c>
    </row>
    <row r="49" spans="1:121" x14ac:dyDescent="0.2">
      <c r="A49" s="398" t="s">
        <v>322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  <c r="BW49" s="399"/>
      <c r="BX49" s="399"/>
      <c r="BY49" s="399"/>
      <c r="BZ49" s="399"/>
      <c r="CA49" s="399"/>
      <c r="CB49" s="400"/>
      <c r="CC49" s="400"/>
      <c r="CD49" s="400"/>
      <c r="CE49" s="400"/>
      <c r="CF49" s="400"/>
      <c r="CG49" s="400"/>
      <c r="CH49" s="400"/>
      <c r="CI49" s="400"/>
      <c r="CJ49" s="400">
        <v>8.345E-3</v>
      </c>
      <c r="CK49" s="400">
        <v>7.626E-3</v>
      </c>
      <c r="CL49" s="400">
        <v>6.9290000000000003E-3</v>
      </c>
      <c r="CM49" s="400">
        <v>5.7340000000000004E-3</v>
      </c>
      <c r="CN49" s="400">
        <v>3.5669999999999999E-3</v>
      </c>
      <c r="CO49" s="400">
        <v>8.064E-3</v>
      </c>
      <c r="CP49" s="406">
        <v>1.5025E-2</v>
      </c>
      <c r="CQ49" s="406">
        <v>1.5472E-2</v>
      </c>
      <c r="CR49" s="406">
        <v>1.7204000000000001E-2</v>
      </c>
      <c r="CS49" s="406">
        <v>2.1481E-2</v>
      </c>
      <c r="CT49" s="406">
        <v>2.1481E-2</v>
      </c>
      <c r="CU49" s="406">
        <v>2.1489999999999999E-2</v>
      </c>
      <c r="CV49" s="406">
        <v>2.1489999999999999E-2</v>
      </c>
      <c r="CW49" s="406">
        <v>2.5711999999999999E-2</v>
      </c>
      <c r="CX49" s="406">
        <v>2.5711999999999999E-2</v>
      </c>
      <c r="CY49" s="406">
        <v>2.5722999999999999E-2</v>
      </c>
      <c r="CZ49" s="406">
        <v>2.5734E-2</v>
      </c>
      <c r="DA49" s="406">
        <v>2.5745000000000001E-2</v>
      </c>
      <c r="DB49" s="406">
        <v>2.5745000000000001E-2</v>
      </c>
      <c r="DC49" s="406">
        <v>2.5745000000000001E-2</v>
      </c>
      <c r="DD49" s="406">
        <v>2.4937999999999998E-2</v>
      </c>
      <c r="DE49" s="406">
        <v>2.4892999999999998E-2</v>
      </c>
      <c r="DF49" s="406">
        <v>2.4892999999999998E-2</v>
      </c>
      <c r="DG49" s="406">
        <v>2.4892999999999998E-2</v>
      </c>
      <c r="DH49" s="406">
        <v>9.5160000000000002E-3</v>
      </c>
      <c r="DI49" s="406">
        <v>9.5160000000000002E-3</v>
      </c>
      <c r="DJ49" s="406">
        <v>9.6819999999999996E-3</v>
      </c>
      <c r="DK49" s="406">
        <v>7.0949999999999997E-3</v>
      </c>
      <c r="DL49" s="406">
        <v>7.1219999999999999E-3</v>
      </c>
      <c r="DM49" s="406">
        <v>6.79E-3</v>
      </c>
      <c r="DN49" s="406">
        <v>6.79E-3</v>
      </c>
      <c r="DO49" s="406">
        <v>4.248E-3</v>
      </c>
      <c r="DP49" s="406">
        <v>4.248E-3</v>
      </c>
      <c r="DQ49" s="406">
        <v>4.248E-3</v>
      </c>
    </row>
    <row r="50" spans="1:121" x14ac:dyDescent="0.2">
      <c r="A50" s="398" t="s">
        <v>308</v>
      </c>
      <c r="B50" s="399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  <c r="BW50" s="399"/>
      <c r="BX50" s="399"/>
      <c r="BY50" s="399"/>
      <c r="BZ50" s="399"/>
      <c r="CA50" s="399"/>
      <c r="CB50" s="400"/>
      <c r="CC50" s="400"/>
      <c r="CD50" s="400"/>
      <c r="CE50" s="400"/>
      <c r="CF50" s="400">
        <v>2.5735000000000001E-2</v>
      </c>
      <c r="CG50" s="400">
        <v>2.0382999999999998E-2</v>
      </c>
      <c r="CH50" s="400">
        <v>1.7484E-2</v>
      </c>
      <c r="CI50" s="400">
        <v>1.0529E-2</v>
      </c>
      <c r="CJ50" s="400">
        <v>8.6899999999999998E-3</v>
      </c>
      <c r="CK50" s="400">
        <v>6.9740000000000002E-3</v>
      </c>
      <c r="CL50" s="400">
        <v>6.0070000000000002E-3</v>
      </c>
      <c r="CM50" s="400">
        <v>5.1939999999999998E-3</v>
      </c>
      <c r="CN50" s="400">
        <v>4.372E-3</v>
      </c>
      <c r="CO50" s="400">
        <v>4.3759999999999997E-3</v>
      </c>
      <c r="CP50" s="406">
        <v>4.385E-3</v>
      </c>
      <c r="CQ50" s="406">
        <v>4.3829999999999997E-3</v>
      </c>
      <c r="CR50" s="406">
        <v>3.555E-3</v>
      </c>
      <c r="CS50" s="406">
        <v>3.555E-3</v>
      </c>
      <c r="CT50" s="406">
        <v>3.5569999999999998E-3</v>
      </c>
      <c r="CU50" s="406">
        <v>3.5569999999999998E-3</v>
      </c>
      <c r="CV50" s="406">
        <v>3.558E-3</v>
      </c>
      <c r="CW50" s="406">
        <v>3.558E-3</v>
      </c>
      <c r="CX50" s="406">
        <v>3.558E-3</v>
      </c>
      <c r="CY50" s="406">
        <v>3.558E-3</v>
      </c>
      <c r="CZ50" s="406">
        <v>3.6310000000000001E-3</v>
      </c>
      <c r="DA50" s="406">
        <v>3.6129999999999999E-3</v>
      </c>
      <c r="DB50" s="406">
        <v>3.7039999999999998E-3</v>
      </c>
      <c r="DC50" s="406">
        <v>3.7039999999999998E-3</v>
      </c>
      <c r="DD50" s="406">
        <v>3.7039999999999998E-3</v>
      </c>
      <c r="DE50" s="406">
        <v>1.072E-3</v>
      </c>
      <c r="DF50" s="406">
        <v>1.072E-3</v>
      </c>
      <c r="DG50" s="406">
        <v>1.072E-3</v>
      </c>
      <c r="DH50" s="406">
        <v>1.072E-3</v>
      </c>
      <c r="DI50" s="406">
        <v>1.072E-3</v>
      </c>
      <c r="DJ50" s="406">
        <v>1.0709999999999999E-3</v>
      </c>
      <c r="DK50" s="406">
        <v>1.0709999999999999E-3</v>
      </c>
      <c r="DL50" s="406">
        <v>1.0709999999999999E-3</v>
      </c>
      <c r="DM50" s="406">
        <v>1.096E-3</v>
      </c>
      <c r="DN50" s="406">
        <v>1.096E-3</v>
      </c>
      <c r="DO50" s="406">
        <v>-1.5590000000000001E-3</v>
      </c>
      <c r="DP50" s="406">
        <v>-1.5590000000000001E-3</v>
      </c>
      <c r="DQ50" s="406">
        <v>-5.1640000000000002E-3</v>
      </c>
    </row>
    <row r="51" spans="1:121" x14ac:dyDescent="0.2">
      <c r="A51" s="398" t="s">
        <v>265</v>
      </c>
      <c r="B51" s="399"/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  <c r="BW51" s="399"/>
      <c r="BX51" s="399"/>
      <c r="BY51" s="399"/>
      <c r="BZ51" s="399"/>
      <c r="CA51" s="399"/>
      <c r="CB51" s="400">
        <v>3.4749000000000002E-2</v>
      </c>
      <c r="CC51" s="400">
        <v>2.6596000000000002E-2</v>
      </c>
      <c r="CD51" s="400">
        <v>2.6841E-2</v>
      </c>
      <c r="CE51" s="400">
        <v>2.5426000000000001E-2</v>
      </c>
      <c r="CF51" s="400">
        <v>2.3744999999999999E-2</v>
      </c>
      <c r="CG51" s="400">
        <v>2.1801999999999998E-2</v>
      </c>
      <c r="CH51" s="400">
        <v>2.0924999999999999E-2</v>
      </c>
      <c r="CI51" s="400">
        <v>1.5251000000000001E-2</v>
      </c>
      <c r="CJ51" s="400">
        <v>1.4373E-2</v>
      </c>
      <c r="CK51" s="400">
        <v>1.2599000000000001E-2</v>
      </c>
      <c r="CL51" s="400">
        <v>1.2604000000000001E-2</v>
      </c>
      <c r="CM51" s="400">
        <v>1.1733E-2</v>
      </c>
      <c r="CN51" s="400">
        <v>1.1736999999999999E-2</v>
      </c>
      <c r="CO51" s="400">
        <v>1.1742000000000001E-2</v>
      </c>
      <c r="CP51" s="406">
        <v>9.1079999999999998E-3</v>
      </c>
      <c r="CQ51" s="406">
        <v>9.1079999999999998E-3</v>
      </c>
      <c r="CR51" s="406">
        <v>9.1079999999999998E-3</v>
      </c>
      <c r="CS51" s="406">
        <v>9.1120000000000003E-3</v>
      </c>
      <c r="CT51" s="406">
        <v>8.2310000000000005E-3</v>
      </c>
      <c r="CU51" s="406">
        <v>5.5120000000000004E-3</v>
      </c>
      <c r="CV51" s="406">
        <v>5.4390000000000003E-3</v>
      </c>
      <c r="CW51" s="406">
        <v>8.2170000000000003E-3</v>
      </c>
      <c r="CX51" s="406">
        <v>8.1300000000000001E-3</v>
      </c>
      <c r="CY51" s="406">
        <v>7.6039999999999996E-3</v>
      </c>
      <c r="CZ51" s="406">
        <v>7.4310000000000001E-3</v>
      </c>
      <c r="DA51" s="406">
        <v>7.3920000000000001E-3</v>
      </c>
      <c r="DB51" s="406">
        <v>7.5319999999999996E-3</v>
      </c>
      <c r="DC51" s="406">
        <v>7.5069999999999998E-3</v>
      </c>
      <c r="DD51" s="406">
        <v>4.8110000000000002E-3</v>
      </c>
      <c r="DE51" s="406">
        <v>4.7860000000000003E-3</v>
      </c>
      <c r="DF51" s="406">
        <v>2.2420000000000001E-3</v>
      </c>
      <c r="DG51" s="406">
        <v>2.2420000000000001E-3</v>
      </c>
      <c r="DH51" s="406">
        <v>2.0660000000000001E-3</v>
      </c>
      <c r="DI51" s="406">
        <v>2.0660000000000001E-3</v>
      </c>
      <c r="DJ51" s="406">
        <v>2.0660000000000001E-3</v>
      </c>
      <c r="DK51" s="406">
        <v>4.7629999999999999E-3</v>
      </c>
      <c r="DL51" s="406">
        <v>4.7629999999999999E-3</v>
      </c>
      <c r="DM51" s="406">
        <v>3.503E-3</v>
      </c>
      <c r="DN51" s="406">
        <v>3.503E-3</v>
      </c>
      <c r="DO51" s="406">
        <v>3.7299999999999998E-3</v>
      </c>
    </row>
    <row r="52" spans="1:121" x14ac:dyDescent="0.2">
      <c r="A52" s="398" t="s">
        <v>262</v>
      </c>
      <c r="B52" s="399"/>
      <c r="C52" s="399"/>
      <c r="D52" s="399"/>
      <c r="E52" s="399"/>
      <c r="F52" s="399"/>
      <c r="G52" s="399"/>
      <c r="H52" s="399"/>
      <c r="I52" s="399"/>
      <c r="J52" s="399"/>
      <c r="K52" s="399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400"/>
      <c r="BU52" s="400"/>
      <c r="BV52" s="400"/>
      <c r="BW52" s="400"/>
      <c r="BX52" s="400">
        <v>3.5165000000000002E-2</v>
      </c>
      <c r="BY52" s="400">
        <v>6.0138999999999998E-2</v>
      </c>
      <c r="BZ52" s="400">
        <v>6.0115000000000002E-2</v>
      </c>
      <c r="CA52" s="400">
        <v>4.5876E-2</v>
      </c>
      <c r="CB52" s="400">
        <v>3.5666999999999997E-2</v>
      </c>
      <c r="CC52" s="400">
        <v>3.6173999999999998E-2</v>
      </c>
      <c r="CD52" s="400">
        <v>3.0273000000000001E-2</v>
      </c>
      <c r="CE52" s="400">
        <v>2.9752000000000001E-2</v>
      </c>
      <c r="CF52" s="400">
        <v>2.9812000000000002E-2</v>
      </c>
      <c r="CG52" s="400">
        <v>1.9571000000000002E-2</v>
      </c>
      <c r="CH52" s="400">
        <v>1.9560999999999999E-2</v>
      </c>
      <c r="CI52" s="400">
        <v>1.9569E-2</v>
      </c>
      <c r="CJ52" s="400">
        <v>1.8667E-2</v>
      </c>
      <c r="CK52" s="400">
        <v>2.1462999999999999E-2</v>
      </c>
      <c r="CL52" s="400">
        <v>2.1462999999999999E-2</v>
      </c>
      <c r="CM52" s="400">
        <v>2.1471000000000001E-2</v>
      </c>
      <c r="CN52" s="400">
        <v>2.1471000000000001E-2</v>
      </c>
      <c r="CO52" s="400">
        <v>2.1479999999999999E-2</v>
      </c>
      <c r="CP52" s="406">
        <v>2.1735000000000001E-2</v>
      </c>
      <c r="CQ52" s="406">
        <v>2.1742999999999998E-2</v>
      </c>
      <c r="CR52" s="406">
        <v>2.1760000000000002E-2</v>
      </c>
      <c r="CS52" s="406">
        <v>2.1708999999999999E-2</v>
      </c>
      <c r="CT52" s="406">
        <v>1.8896E-2</v>
      </c>
      <c r="CU52" s="406">
        <v>1.8896E-2</v>
      </c>
      <c r="CV52" s="406">
        <v>1.8904000000000001E-2</v>
      </c>
      <c r="CW52" s="406">
        <v>1.8904000000000001E-2</v>
      </c>
      <c r="CX52" s="406">
        <v>1.6063999999999998E-2</v>
      </c>
      <c r="CY52" s="406">
        <v>1.6070999999999998E-2</v>
      </c>
      <c r="CZ52" s="406">
        <v>1.6095999999999999E-2</v>
      </c>
      <c r="DA52" s="406">
        <v>1.6108999999999998E-2</v>
      </c>
      <c r="DB52" s="406">
        <v>1.6083E-2</v>
      </c>
      <c r="DC52" s="406">
        <v>1.6122000000000001E-2</v>
      </c>
      <c r="DD52" s="406">
        <v>1.3306999999999999E-2</v>
      </c>
      <c r="DE52" s="406">
        <v>1.3306999999999999E-2</v>
      </c>
      <c r="DF52" s="406">
        <v>1.3272000000000001E-2</v>
      </c>
      <c r="DG52" s="406">
        <v>1.0442E-2</v>
      </c>
      <c r="DH52" s="406">
        <v>1.0266000000000001E-2</v>
      </c>
      <c r="DI52" s="406">
        <v>9.4940000000000007E-3</v>
      </c>
      <c r="DJ52" s="406">
        <v>8.8249999999999995E-3</v>
      </c>
      <c r="DK52" s="406">
        <v>8.5170000000000003E-3</v>
      </c>
      <c r="DM52" s="406"/>
    </row>
    <row r="53" spans="1:121" x14ac:dyDescent="0.2">
      <c r="A53" s="398" t="s">
        <v>259</v>
      </c>
      <c r="B53" s="399"/>
      <c r="C53" s="399"/>
      <c r="D53" s="399"/>
      <c r="E53" s="399"/>
      <c r="F53" s="399"/>
      <c r="G53" s="399"/>
      <c r="H53" s="399"/>
      <c r="I53" s="399"/>
      <c r="J53" s="399"/>
      <c r="K53" s="399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400">
        <v>4.614E-3</v>
      </c>
      <c r="BU53" s="400">
        <v>4.3249999999999999E-3</v>
      </c>
      <c r="BV53" s="400">
        <v>5.7450000000000001E-3</v>
      </c>
      <c r="BW53" s="400">
        <v>3.8219999999999999E-3</v>
      </c>
      <c r="BX53" s="400">
        <v>2.5049999999999998E-3</v>
      </c>
      <c r="BY53" s="400">
        <v>2.5170000000000001E-3</v>
      </c>
      <c r="BZ53" s="400">
        <v>2.5049999999999998E-3</v>
      </c>
      <c r="CA53" s="400">
        <v>3.5439999999999998E-3</v>
      </c>
      <c r="CB53" s="400">
        <v>-1.418E-3</v>
      </c>
      <c r="CC53" s="400">
        <v>-6.411E-3</v>
      </c>
      <c r="CD53" s="400">
        <v>-1.1402000000000001E-2</v>
      </c>
      <c r="CE53" s="400">
        <v>-1.1391999999999999E-2</v>
      </c>
      <c r="CF53" s="400">
        <v>-1.1391999999999999E-2</v>
      </c>
      <c r="CG53" s="400">
        <v>-1.1423000000000001E-2</v>
      </c>
      <c r="CH53" s="400">
        <v>-1.1428000000000001E-2</v>
      </c>
      <c r="CI53" s="400">
        <v>-1.1428000000000001E-2</v>
      </c>
      <c r="CJ53" s="400">
        <v>-1.2075000000000001E-2</v>
      </c>
      <c r="CK53" s="400">
        <v>-1.2075000000000001E-2</v>
      </c>
      <c r="CL53" s="400">
        <v>-1.2075000000000001E-2</v>
      </c>
      <c r="CM53" s="400">
        <v>-1.2075000000000001E-2</v>
      </c>
      <c r="CN53" s="400">
        <v>-1.2945999999999999E-2</v>
      </c>
      <c r="CO53" s="400">
        <v>-1.2945999999999999E-2</v>
      </c>
      <c r="CP53" s="406">
        <v>-1.3102000000000001E-2</v>
      </c>
      <c r="CQ53" s="406">
        <v>-1.3102000000000001E-2</v>
      </c>
      <c r="CR53" s="406">
        <v>-1.3464E-2</v>
      </c>
      <c r="CS53" s="406">
        <v>-1.3464E-2</v>
      </c>
      <c r="CT53" s="406">
        <v>-1.3464E-2</v>
      </c>
      <c r="CU53" s="406">
        <v>-1.3469999999999999E-2</v>
      </c>
      <c r="CV53" s="406">
        <v>-1.3469999999999999E-2</v>
      </c>
      <c r="CW53" s="406">
        <v>-1.3875999999999999E-2</v>
      </c>
      <c r="CX53" s="406">
        <v>-1.3875999999999999E-2</v>
      </c>
      <c r="CY53" s="406">
        <v>-1.3883E-2</v>
      </c>
      <c r="CZ53" s="406">
        <v>-1.3905000000000001E-2</v>
      </c>
      <c r="DA53" s="406">
        <v>-1.3905000000000001E-2</v>
      </c>
      <c r="DB53" s="406">
        <v>-1.3905000000000001E-2</v>
      </c>
      <c r="DC53" s="406">
        <v>-1.6414999999999999E-2</v>
      </c>
      <c r="DD53" s="406">
        <v>-1.6414999999999999E-2</v>
      </c>
      <c r="DE53" s="406">
        <v>-1.8540000000000001E-2</v>
      </c>
      <c r="DF53" s="406">
        <v>-1.8901999999999999E-2</v>
      </c>
      <c r="DG53" s="406">
        <v>-2.0077999999999999E-2</v>
      </c>
    </row>
    <row r="54" spans="1:121" x14ac:dyDescent="0.2">
      <c r="A54" s="398" t="s">
        <v>252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400">
        <v>6.1149999999999998E-3</v>
      </c>
      <c r="BQ54" s="400">
        <v>6.0000000000000001E-3</v>
      </c>
      <c r="BR54" s="400">
        <v>5.9899999999999997E-3</v>
      </c>
      <c r="BS54" s="400">
        <v>4.2560000000000002E-3</v>
      </c>
      <c r="BT54" s="400">
        <v>2.947E-3</v>
      </c>
      <c r="BU54" s="400">
        <v>4.1929999999999997E-3</v>
      </c>
      <c r="BV54" s="400">
        <v>8.6149999999999994E-3</v>
      </c>
      <c r="BW54" s="400">
        <v>1.1226E-2</v>
      </c>
      <c r="BX54" s="400">
        <v>2.3656E-2</v>
      </c>
      <c r="BY54" s="400">
        <v>3.5097000000000003E-2</v>
      </c>
      <c r="BZ54" s="400">
        <v>3.4986999999999997E-2</v>
      </c>
      <c r="CA54" s="400">
        <v>3.5116000000000001E-2</v>
      </c>
      <c r="CB54" s="400">
        <v>3.3036000000000003E-2</v>
      </c>
      <c r="CC54" s="400">
        <v>3.2400999999999999E-2</v>
      </c>
      <c r="CD54" s="400">
        <v>2.8237999999999999E-2</v>
      </c>
      <c r="CE54" s="400">
        <v>2.8242E-2</v>
      </c>
      <c r="CF54" s="400">
        <v>2.8295000000000001E-2</v>
      </c>
      <c r="CG54" s="400">
        <v>2.8344000000000001E-2</v>
      </c>
      <c r="CH54" s="400">
        <v>2.8344000000000001E-2</v>
      </c>
      <c r="CI54" s="400">
        <v>3.0453999999999998E-2</v>
      </c>
      <c r="CJ54" s="400">
        <v>3.0453999999999998E-2</v>
      </c>
      <c r="CK54" s="400">
        <v>2.9713E-2</v>
      </c>
      <c r="CL54" s="400">
        <v>2.9728000000000001E-2</v>
      </c>
      <c r="CM54" s="400">
        <v>2.7616999999999999E-2</v>
      </c>
      <c r="CN54" s="400">
        <v>2.5544000000000001E-2</v>
      </c>
      <c r="CO54" s="400">
        <v>2.5544000000000001E-2</v>
      </c>
      <c r="CP54" s="406">
        <v>2.5786E-2</v>
      </c>
      <c r="CQ54" s="406">
        <v>2.3674000000000001E-2</v>
      </c>
      <c r="CR54" s="406">
        <v>2.3674000000000001E-2</v>
      </c>
      <c r="CS54" s="406">
        <v>2.3674000000000001E-2</v>
      </c>
      <c r="CT54" s="406">
        <v>2.1562000000000001E-2</v>
      </c>
      <c r="CU54" s="406">
        <v>2.1562000000000001E-2</v>
      </c>
      <c r="CV54" s="406">
        <v>1.9449999999999999E-2</v>
      </c>
      <c r="CW54" s="406">
        <v>1.9540999999999999E-2</v>
      </c>
      <c r="CX54" s="406">
        <v>1.9550999999999999E-2</v>
      </c>
      <c r="CY54" s="406">
        <v>1.9550999999999999E-2</v>
      </c>
      <c r="CZ54" s="406">
        <v>1.7409000000000001E-2</v>
      </c>
      <c r="DA54" s="406">
        <v>1.7756000000000001E-2</v>
      </c>
      <c r="DB54" s="406">
        <v>1.7774999999999999E-2</v>
      </c>
      <c r="DC54" s="406">
        <v>1.7330999999999999E-2</v>
      </c>
    </row>
    <row r="55" spans="1:121" x14ac:dyDescent="0.2">
      <c r="A55" s="398" t="s">
        <v>246</v>
      </c>
      <c r="B55" s="399"/>
      <c r="C55" s="399"/>
      <c r="D55" s="399"/>
      <c r="E55" s="399"/>
      <c r="F55" s="399"/>
      <c r="G55" s="399"/>
      <c r="H55" s="399"/>
      <c r="I55" s="399"/>
      <c r="J55" s="399"/>
      <c r="K55" s="399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401">
        <v>1.5100000000000001E-2</v>
      </c>
      <c r="BM55" s="401">
        <v>1.1299999999999999E-2</v>
      </c>
      <c r="BN55" s="401">
        <v>9.9000000000000008E-3</v>
      </c>
      <c r="BO55" s="400">
        <v>8.0160000000000006E-3</v>
      </c>
      <c r="BP55" s="400">
        <v>7.4830000000000001E-3</v>
      </c>
      <c r="BQ55" s="400">
        <v>7.4999999999999997E-3</v>
      </c>
      <c r="BR55" s="400">
        <v>7.5630000000000003E-3</v>
      </c>
      <c r="BS55" s="400">
        <v>7.3419999999999996E-3</v>
      </c>
      <c r="BT55" s="400">
        <v>8.012E-3</v>
      </c>
      <c r="BU55" s="400">
        <v>1.1514E-2</v>
      </c>
      <c r="BV55" s="400">
        <v>1.486E-2</v>
      </c>
      <c r="BW55" s="400">
        <v>1.8440000000000002E-2</v>
      </c>
      <c r="BX55" s="400">
        <v>2.0160000000000001E-2</v>
      </c>
      <c r="BY55" s="400">
        <v>2.0160000000000001E-2</v>
      </c>
      <c r="BZ55" s="400">
        <v>2.019E-2</v>
      </c>
      <c r="CA55" s="400">
        <v>2.1351999999999999E-2</v>
      </c>
      <c r="CB55" s="400">
        <v>2.2513999999999999E-2</v>
      </c>
      <c r="CC55" s="400">
        <v>2.2544000000000002E-2</v>
      </c>
      <c r="CD55" s="400">
        <v>2.2529E-2</v>
      </c>
      <c r="CE55" s="400">
        <v>2.2529E-2</v>
      </c>
      <c r="CF55" s="400">
        <v>2.2513999999999999E-2</v>
      </c>
      <c r="CG55" s="400">
        <v>2.2603000000000002E-2</v>
      </c>
      <c r="CH55" s="400">
        <v>2.2603000000000002E-2</v>
      </c>
      <c r="CI55" s="400">
        <v>2.2617999999999999E-2</v>
      </c>
      <c r="CJ55" s="400">
        <v>2.2617999999999999E-2</v>
      </c>
      <c r="CK55" s="400">
        <v>2.2057E-2</v>
      </c>
      <c r="CL55" s="400">
        <v>2.2057E-2</v>
      </c>
      <c r="CM55" s="400">
        <v>2.2041000000000002E-2</v>
      </c>
      <c r="CN55" s="400">
        <v>2.2057E-2</v>
      </c>
      <c r="CO55" s="400">
        <v>2.2057E-2</v>
      </c>
      <c r="CP55" s="406">
        <v>2.2471999999999999E-2</v>
      </c>
      <c r="CQ55" s="406">
        <v>2.2794999999999999E-2</v>
      </c>
      <c r="CR55" s="406">
        <v>2.281E-2</v>
      </c>
      <c r="CS55" s="406">
        <v>2.2825000000000002E-2</v>
      </c>
      <c r="CT55" s="406">
        <v>2.2853999999999999E-2</v>
      </c>
      <c r="CU55" s="406">
        <v>2.2853999999999999E-2</v>
      </c>
      <c r="CV55" s="406">
        <v>2.2731000000000001E-2</v>
      </c>
      <c r="CW55" s="406">
        <v>1.9182999999999999E-2</v>
      </c>
      <c r="CX55" s="406">
        <v>1.9616000000000001E-2</v>
      </c>
      <c r="CY55" s="406">
        <v>1.9442999999999998E-2</v>
      </c>
      <c r="CZ55" s="406"/>
    </row>
    <row r="56" spans="1:121" x14ac:dyDescent="0.2">
      <c r="A56" s="398" t="s">
        <v>232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401">
        <v>1.5800000000000002E-2</v>
      </c>
      <c r="BI56" s="401">
        <v>1.54E-2</v>
      </c>
      <c r="BJ56" s="401">
        <v>1.6199999999999999E-2</v>
      </c>
      <c r="BK56" s="401">
        <v>1.3899999999999999E-2</v>
      </c>
      <c r="BL56" s="401">
        <v>8.3000000000000001E-3</v>
      </c>
      <c r="BM56" s="401">
        <v>8.8999999999999999E-3</v>
      </c>
      <c r="BN56" s="401">
        <v>9.4999999999999998E-3</v>
      </c>
      <c r="BO56" s="400">
        <v>9.4999999999999998E-3</v>
      </c>
      <c r="BP56" s="400">
        <v>1.24E-2</v>
      </c>
      <c r="BQ56" s="400">
        <v>1.14E-2</v>
      </c>
      <c r="BR56" s="400">
        <v>1.1519E-2</v>
      </c>
      <c r="BS56" s="400">
        <v>1.1560000000000001E-2</v>
      </c>
      <c r="BT56" s="400">
        <v>1.1572000000000001E-2</v>
      </c>
      <c r="BU56" s="400">
        <v>1.1613999999999999E-2</v>
      </c>
      <c r="BV56" s="400">
        <v>1.1627E-2</v>
      </c>
      <c r="BW56" s="400">
        <v>1.1627E-2</v>
      </c>
      <c r="BX56" s="400">
        <v>1.6129000000000001E-2</v>
      </c>
      <c r="BY56" s="400">
        <v>1.6129000000000001E-2</v>
      </c>
      <c r="BZ56" s="400">
        <v>1.6129000000000001E-2</v>
      </c>
      <c r="CA56" s="400">
        <v>1.6129000000000001E-2</v>
      </c>
      <c r="CB56" s="400">
        <v>1.5602E-2</v>
      </c>
      <c r="CC56" s="400">
        <v>1.5706000000000001E-2</v>
      </c>
      <c r="CD56" s="400">
        <v>1.5809E-2</v>
      </c>
      <c r="CE56" s="400">
        <v>1.5809E-2</v>
      </c>
      <c r="CF56" s="400">
        <v>1.5809E-2</v>
      </c>
      <c r="CG56" s="400">
        <v>1.5821000000000002E-2</v>
      </c>
      <c r="CH56" s="400">
        <v>1.5821000000000002E-2</v>
      </c>
      <c r="CI56" s="400">
        <v>1.5358999999999999E-2</v>
      </c>
      <c r="CJ56" s="400">
        <v>1.5358999999999999E-2</v>
      </c>
      <c r="CK56" s="400">
        <v>1.3865000000000001E-2</v>
      </c>
      <c r="CL56" s="400">
        <v>1.3865000000000001E-2</v>
      </c>
      <c r="CM56" s="400">
        <v>1.3865000000000001E-2</v>
      </c>
      <c r="CN56" s="400">
        <v>1.3875E-2</v>
      </c>
      <c r="CO56" s="400">
        <v>1.3865000000000001E-2</v>
      </c>
      <c r="CP56" s="406">
        <v>1.4130999999999999E-2</v>
      </c>
      <c r="CQ56" s="406">
        <v>1.2607999999999999E-2</v>
      </c>
      <c r="CR56" s="406">
        <v>1.2593999999999999E-2</v>
      </c>
      <c r="CS56" s="406">
        <v>1.1833E-2</v>
      </c>
      <c r="CT56" s="406">
        <v>1.1998999999999999E-2</v>
      </c>
      <c r="CU56" s="406">
        <v>1.2220999999999999E-2</v>
      </c>
    </row>
    <row r="57" spans="1:121" x14ac:dyDescent="0.2">
      <c r="A57" s="398" t="s">
        <v>219</v>
      </c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401">
        <v>1.18E-2</v>
      </c>
      <c r="BE57" s="401">
        <v>1.0699999999999999E-2</v>
      </c>
      <c r="BF57" s="401">
        <v>1.09E-2</v>
      </c>
      <c r="BG57" s="401">
        <v>9.4999999999999998E-3</v>
      </c>
      <c r="BH57" s="401">
        <v>9.2999999999999992E-3</v>
      </c>
      <c r="BI57" s="401">
        <v>8.5000000000000006E-3</v>
      </c>
      <c r="BJ57" s="401">
        <v>8.6E-3</v>
      </c>
      <c r="BK57" s="401">
        <v>5.3E-3</v>
      </c>
      <c r="BL57" s="401">
        <v>1.03E-2</v>
      </c>
      <c r="BM57" s="401">
        <v>7.1999999999999998E-3</v>
      </c>
      <c r="BN57" s="401">
        <v>7.3000000000000001E-3</v>
      </c>
      <c r="BO57" s="400">
        <v>7.3000000000000001E-3</v>
      </c>
      <c r="BP57" s="400">
        <v>7.3000000000000001E-3</v>
      </c>
      <c r="BQ57" s="400">
        <v>7.3000000000000001E-3</v>
      </c>
      <c r="BR57" s="400">
        <v>7.3000000000000001E-3</v>
      </c>
      <c r="BS57" s="400">
        <v>7.1999999999999998E-3</v>
      </c>
      <c r="BT57" s="400">
        <v>5.7000000000000002E-3</v>
      </c>
      <c r="BU57" s="400">
        <v>5.7999999999999996E-3</v>
      </c>
      <c r="BV57" s="400">
        <v>5.7999999999999996E-3</v>
      </c>
      <c r="BW57" s="400">
        <v>5.7999999999999996E-3</v>
      </c>
      <c r="BX57" s="400">
        <v>5.7999999999999996E-3</v>
      </c>
      <c r="BY57" s="400">
        <v>4.3E-3</v>
      </c>
      <c r="BZ57" s="400">
        <v>4.3E-3</v>
      </c>
      <c r="CA57" s="400">
        <v>4.3E-3</v>
      </c>
      <c r="CB57" s="400">
        <v>4.3E-3</v>
      </c>
      <c r="CC57" s="400">
        <v>4.3E-3</v>
      </c>
      <c r="CD57" s="400">
        <v>4.4060000000000002E-3</v>
      </c>
      <c r="CE57" s="400">
        <v>4.4060000000000002E-3</v>
      </c>
      <c r="CF57" s="400">
        <v>3.9849999999999998E-3</v>
      </c>
      <c r="CG57" s="400">
        <v>3.9880000000000002E-3</v>
      </c>
      <c r="CH57" s="400">
        <v>3.9880000000000002E-3</v>
      </c>
      <c r="CI57" s="400">
        <v>3.7429999999999998E-3</v>
      </c>
      <c r="CJ57" s="400">
        <v>3.9060000000000002E-3</v>
      </c>
      <c r="CK57" s="400">
        <v>3.8379999999999998E-3</v>
      </c>
      <c r="CL57" s="400">
        <v>3.8379999999999998E-3</v>
      </c>
      <c r="CM57" s="400">
        <v>3.5929999999999998E-3</v>
      </c>
      <c r="CN57" s="400">
        <v>3.5929999999999998E-3</v>
      </c>
      <c r="CO57" s="400">
        <v>3.9880000000000002E-3</v>
      </c>
      <c r="CP57" s="406">
        <v>3.9199999999999999E-3</v>
      </c>
      <c r="CQ57" s="406">
        <v>3.8920000000000001E-3</v>
      </c>
      <c r="CR57" s="406"/>
    </row>
    <row r="58" spans="1:121" x14ac:dyDescent="0.2">
      <c r="A58" s="398" t="s">
        <v>206</v>
      </c>
      <c r="B58" s="399"/>
      <c r="C58" s="399"/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400">
        <v>5.8999999999999999E-3</v>
      </c>
      <c r="BA58" s="401">
        <v>6.4999999999999997E-3</v>
      </c>
      <c r="BB58" s="401">
        <v>1.15E-2</v>
      </c>
      <c r="BC58" s="401">
        <v>1.0500000000000001E-2</v>
      </c>
      <c r="BD58" s="401">
        <v>1.0500000000000001E-2</v>
      </c>
      <c r="BE58" s="401">
        <v>1.06E-2</v>
      </c>
      <c r="BF58" s="401">
        <v>1.0200000000000001E-2</v>
      </c>
      <c r="BG58" s="401">
        <v>1.06E-2</v>
      </c>
      <c r="BH58" s="401">
        <v>1.5900000000000001E-2</v>
      </c>
      <c r="BI58" s="401">
        <v>1.6400000000000001E-2</v>
      </c>
      <c r="BJ58" s="401">
        <v>1.6500000000000001E-2</v>
      </c>
      <c r="BK58" s="401">
        <v>1.2999999999999999E-2</v>
      </c>
      <c r="BL58" s="401">
        <v>1.3100000000000001E-2</v>
      </c>
      <c r="BM58" s="401">
        <v>1.3100000000000001E-2</v>
      </c>
      <c r="BN58" s="401">
        <v>1.3100000000000001E-2</v>
      </c>
      <c r="BO58" s="400">
        <v>1.3100000000000001E-2</v>
      </c>
      <c r="BP58" s="400">
        <v>1.3100000000000001E-2</v>
      </c>
      <c r="BQ58" s="400">
        <v>1.3100000000000001E-2</v>
      </c>
      <c r="BR58" s="400">
        <v>1.3100000000000001E-2</v>
      </c>
      <c r="BS58" s="400">
        <v>1.2999999999999999E-2</v>
      </c>
      <c r="BT58" s="400">
        <v>1.2999999999999999E-2</v>
      </c>
      <c r="BU58" s="400">
        <v>1.1299999999999999E-2</v>
      </c>
      <c r="BV58" s="400">
        <v>1.1299999999999999E-2</v>
      </c>
      <c r="BW58" s="400">
        <v>1.14E-2</v>
      </c>
      <c r="BX58" s="400">
        <v>1.14E-2</v>
      </c>
      <c r="BY58" s="400">
        <v>1.14E-2</v>
      </c>
      <c r="BZ58" s="400">
        <v>1.14E-2</v>
      </c>
      <c r="CA58" s="400">
        <v>1.09E-2</v>
      </c>
      <c r="CB58" s="400">
        <v>1.04E-2</v>
      </c>
      <c r="CC58" s="400">
        <v>1.04E-2</v>
      </c>
      <c r="CD58" s="400">
        <v>1.0265E-2</v>
      </c>
      <c r="CE58" s="400">
        <v>1.0265E-2</v>
      </c>
      <c r="CF58" s="400">
        <v>1.025E-2</v>
      </c>
      <c r="CG58" s="400">
        <v>1.0316000000000001E-2</v>
      </c>
      <c r="CH58" s="400">
        <v>1.0318000000000001E-2</v>
      </c>
      <c r="CI58" s="400">
        <v>1.0123999999999999E-2</v>
      </c>
      <c r="CJ58" s="400">
        <v>1.0094000000000001E-2</v>
      </c>
      <c r="CK58" s="400">
        <v>9.0299999999999998E-3</v>
      </c>
      <c r="CL58" s="400">
        <v>9.1070000000000005E-3</v>
      </c>
      <c r="CM58" s="400">
        <v>8.5830000000000004E-3</v>
      </c>
    </row>
    <row r="59" spans="1:121" x14ac:dyDescent="0.2">
      <c r="A59" s="398" t="s">
        <v>202</v>
      </c>
      <c r="B59" s="399"/>
      <c r="C59" s="399"/>
      <c r="D59" s="399"/>
      <c r="E59" s="399"/>
      <c r="F59" s="399"/>
      <c r="G59" s="399"/>
      <c r="H59" s="399"/>
      <c r="I59" s="399"/>
      <c r="J59" s="399"/>
      <c r="K59" s="399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402"/>
      <c r="AH59" s="402"/>
      <c r="AI59" s="402"/>
      <c r="AJ59" s="402"/>
      <c r="AK59" s="402"/>
      <c r="AL59" s="402"/>
      <c r="AM59" s="402"/>
      <c r="AN59" s="402"/>
      <c r="AO59" s="402"/>
      <c r="AP59" s="402"/>
      <c r="AQ59" s="402"/>
      <c r="AR59" s="400"/>
      <c r="AS59" s="400"/>
      <c r="AT59" s="400"/>
      <c r="AU59" s="400"/>
      <c r="AV59" s="400">
        <v>-3.8999999999999998E-3</v>
      </c>
      <c r="AW59" s="400">
        <v>-8.6999999999999994E-3</v>
      </c>
      <c r="AX59" s="400">
        <v>-6.0000000000000001E-3</v>
      </c>
      <c r="AY59" s="400">
        <v>-1.8E-3</v>
      </c>
      <c r="AZ59" s="400">
        <v>5.0000000000000001E-4</v>
      </c>
      <c r="BA59" s="401">
        <v>4.8999999999999998E-3</v>
      </c>
      <c r="BB59" s="401">
        <v>8.3000000000000001E-3</v>
      </c>
      <c r="BC59" s="401">
        <v>9.5999999999999992E-3</v>
      </c>
      <c r="BD59" s="401">
        <v>1.54E-2</v>
      </c>
      <c r="BE59" s="401">
        <v>1.55E-2</v>
      </c>
      <c r="BF59" s="401">
        <v>1.37E-2</v>
      </c>
      <c r="BG59" s="401">
        <v>1.32E-2</v>
      </c>
      <c r="BH59" s="401">
        <v>1.32E-2</v>
      </c>
      <c r="BI59" s="401">
        <v>1.38E-2</v>
      </c>
      <c r="BJ59" s="401">
        <v>1.38E-2</v>
      </c>
      <c r="BK59" s="401">
        <v>1.38E-2</v>
      </c>
      <c r="BL59" s="401">
        <v>1.38E-2</v>
      </c>
      <c r="BM59" s="401">
        <v>1.38E-2</v>
      </c>
      <c r="BN59" s="401">
        <v>1.38E-2</v>
      </c>
      <c r="BO59" s="400">
        <v>1.38E-2</v>
      </c>
      <c r="BP59" s="400">
        <v>1.38E-2</v>
      </c>
      <c r="BQ59" s="400">
        <v>1.38E-2</v>
      </c>
      <c r="BR59" s="400">
        <v>1.38E-2</v>
      </c>
      <c r="BS59" s="400">
        <v>1.38E-2</v>
      </c>
      <c r="BT59" s="400">
        <v>1.38E-2</v>
      </c>
      <c r="BU59" s="400">
        <v>1.38E-2</v>
      </c>
      <c r="BV59" s="400">
        <v>1.38E-2</v>
      </c>
      <c r="BW59" s="400">
        <v>1.38E-2</v>
      </c>
      <c r="BX59" s="400">
        <v>1.38E-2</v>
      </c>
      <c r="BY59" s="400">
        <v>1.38E-2</v>
      </c>
      <c r="BZ59" s="400">
        <v>1.38E-2</v>
      </c>
      <c r="CA59" s="400">
        <v>1.14E-2</v>
      </c>
      <c r="CB59" s="400">
        <v>1.1299999999999999E-2</v>
      </c>
      <c r="CC59" s="400">
        <v>1.14E-2</v>
      </c>
      <c r="CD59" s="400">
        <v>1.136E-2</v>
      </c>
      <c r="CE59" s="400">
        <v>1.136E-2</v>
      </c>
      <c r="CF59" s="400">
        <v>1.136E-2</v>
      </c>
      <c r="CG59" s="400">
        <v>8.4989999999999996E-3</v>
      </c>
      <c r="CH59" s="400">
        <v>8.4650000000000003E-3</v>
      </c>
      <c r="CI59" s="400">
        <v>8.3149999999999995E-3</v>
      </c>
    </row>
    <row r="60" spans="1:121" x14ac:dyDescent="0.2">
      <c r="A60" s="398" t="s">
        <v>183</v>
      </c>
      <c r="B60" s="399"/>
      <c r="C60" s="399"/>
      <c r="D60" s="399"/>
      <c r="E60" s="399"/>
      <c r="F60" s="399"/>
      <c r="G60" s="399"/>
      <c r="H60" s="399"/>
      <c r="I60" s="399"/>
      <c r="J60" s="399"/>
      <c r="K60" s="399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402"/>
      <c r="AH60" s="402"/>
      <c r="AI60" s="402"/>
      <c r="AJ60" s="402"/>
      <c r="AK60" s="402"/>
      <c r="AL60" s="402"/>
      <c r="AM60" s="402"/>
      <c r="AN60" s="402"/>
      <c r="AO60" s="402"/>
      <c r="AP60" s="402"/>
      <c r="AQ60" s="402"/>
      <c r="AR60" s="400">
        <v>-2.4599999999999999E-3</v>
      </c>
      <c r="AS60" s="400">
        <v>-1.0999999999999999E-2</v>
      </c>
      <c r="AT60" s="400">
        <v>-1.7299999999999999E-2</v>
      </c>
      <c r="AU60" s="400">
        <v>-2.06E-2</v>
      </c>
      <c r="AV60" s="400">
        <v>-2.4199999999999999E-2</v>
      </c>
      <c r="AW60" s="400">
        <v>-2.81E-2</v>
      </c>
      <c r="AX60" s="400">
        <v>-2.5399999999999999E-2</v>
      </c>
      <c r="AY60" s="400">
        <v>-2.81E-2</v>
      </c>
      <c r="AZ60" s="400">
        <v>-2.2100000000000002E-2</v>
      </c>
      <c r="BA60" s="401">
        <v>-2.24E-2</v>
      </c>
      <c r="BB60" s="401">
        <v>-2.2499999999999999E-2</v>
      </c>
      <c r="BC60" s="401">
        <v>-2.2200000000000001E-2</v>
      </c>
      <c r="BD60" s="401">
        <v>-2.23E-2</v>
      </c>
      <c r="BE60" s="401">
        <v>-2.18E-2</v>
      </c>
      <c r="BF60" s="401">
        <v>-2.23E-2</v>
      </c>
      <c r="BG60" s="401">
        <v>-2.23E-2</v>
      </c>
      <c r="BH60" s="401">
        <v>-2.2200000000000001E-2</v>
      </c>
      <c r="BI60" s="401">
        <v>-2.1999999999999999E-2</v>
      </c>
      <c r="BJ60" s="401">
        <v>-2.1899999999999999E-2</v>
      </c>
      <c r="BK60" s="401">
        <v>-2.4E-2</v>
      </c>
      <c r="BL60" s="401">
        <v>-2.41E-2</v>
      </c>
      <c r="BM60" s="401">
        <v>-2.41E-2</v>
      </c>
      <c r="BN60" s="401">
        <v>-2.41E-2</v>
      </c>
      <c r="BO60" s="400">
        <v>-2.41E-2</v>
      </c>
      <c r="BP60" s="400">
        <v>-2.41E-2</v>
      </c>
      <c r="BQ60" s="400">
        <v>-2.41E-2</v>
      </c>
      <c r="BR60" s="400">
        <v>-2.41E-2</v>
      </c>
      <c r="BS60" s="400">
        <v>-2.41E-2</v>
      </c>
      <c r="BT60" s="400">
        <v>-2.4E-2</v>
      </c>
      <c r="BU60" s="400">
        <v>-2.41E-2</v>
      </c>
      <c r="BV60" s="400">
        <v>-2.4E-2</v>
      </c>
      <c r="BW60" s="400">
        <v>-2.3800000000000002E-2</v>
      </c>
      <c r="BX60" s="400">
        <v>-2.3800000000000002E-2</v>
      </c>
      <c r="BY60" s="400">
        <v>-2.3800000000000002E-2</v>
      </c>
      <c r="BZ60" s="400">
        <v>-2.1700000000000001E-2</v>
      </c>
      <c r="CA60" s="400">
        <v>-2.2200000000000001E-2</v>
      </c>
      <c r="CB60" s="400">
        <v>-2.2200000000000001E-2</v>
      </c>
      <c r="CC60" s="400">
        <v>-2.2800000000000001E-2</v>
      </c>
      <c r="CD60" s="400">
        <v>-2.2807000000000001E-2</v>
      </c>
      <c r="CE60" s="400">
        <v>-2.3279000000000001E-2</v>
      </c>
    </row>
    <row r="61" spans="1:121" x14ac:dyDescent="0.2">
      <c r="A61" s="398" t="s">
        <v>100</v>
      </c>
      <c r="B61" s="399"/>
      <c r="C61" s="399"/>
      <c r="D61" s="399"/>
      <c r="E61" s="399"/>
      <c r="F61" s="399"/>
      <c r="G61" s="399"/>
      <c r="H61" s="399"/>
      <c r="I61" s="399"/>
      <c r="J61" s="399"/>
      <c r="K61" s="399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402"/>
      <c r="AH61" s="402"/>
      <c r="AI61" s="402"/>
      <c r="AJ61" s="402"/>
      <c r="AK61" s="402"/>
      <c r="AL61" s="402"/>
      <c r="AM61" s="402"/>
      <c r="AN61" s="400">
        <v>3.7999999999999999E-2</v>
      </c>
      <c r="AO61" s="400">
        <v>0.02</v>
      </c>
      <c r="AP61" s="400">
        <v>1.0999999999999999E-2</v>
      </c>
      <c r="AQ61" s="400">
        <v>4.4000000000000003E-3</v>
      </c>
      <c r="AR61" s="400">
        <v>-1.72E-3</v>
      </c>
      <c r="AS61" s="400">
        <v>-1.6999999999999999E-3</v>
      </c>
      <c r="AT61" s="400">
        <v>-8.3999999999999995E-3</v>
      </c>
      <c r="AU61" s="400">
        <v>-8.3000000000000001E-3</v>
      </c>
      <c r="AV61" s="400">
        <v>-1.9E-3</v>
      </c>
      <c r="AW61" s="400">
        <v>-4.1999999999999997E-3</v>
      </c>
      <c r="AX61" s="400">
        <v>-9.4999999999999998E-3</v>
      </c>
      <c r="AY61" s="400">
        <v>-1.66E-2</v>
      </c>
      <c r="AZ61" s="400">
        <v>-1.6E-2</v>
      </c>
      <c r="BA61" s="401">
        <v>-1.61E-2</v>
      </c>
      <c r="BB61" s="401">
        <v>-1.5699999999999999E-2</v>
      </c>
      <c r="BC61" s="401">
        <v>-1.7999999999999999E-2</v>
      </c>
      <c r="BD61" s="401">
        <v>-2.0299999999999999E-2</v>
      </c>
      <c r="BE61" s="401">
        <v>-2.01E-2</v>
      </c>
      <c r="BF61" s="401">
        <v>-2.0199999999999999E-2</v>
      </c>
      <c r="BG61" s="401">
        <v>-2.0199999999999999E-2</v>
      </c>
      <c r="BH61" s="401">
        <v>-2.01E-2</v>
      </c>
      <c r="BI61" s="401">
        <v>-1.77E-2</v>
      </c>
      <c r="BJ61" s="401">
        <v>-1.7600000000000001E-2</v>
      </c>
      <c r="BK61" s="401">
        <v>-2.01E-2</v>
      </c>
      <c r="BL61" s="401">
        <v>-0.02</v>
      </c>
      <c r="BM61" s="401">
        <v>-0.02</v>
      </c>
      <c r="BN61" s="401">
        <v>-0.02</v>
      </c>
      <c r="BO61" s="400">
        <v>-2.01E-2</v>
      </c>
      <c r="BP61" s="400">
        <v>-2.01E-2</v>
      </c>
      <c r="BQ61" s="400">
        <v>-2.01E-2</v>
      </c>
      <c r="BR61" s="400">
        <v>-2.01E-2</v>
      </c>
      <c r="BS61" s="400">
        <v>-2.01E-2</v>
      </c>
      <c r="BT61" s="400">
        <v>-2.01E-2</v>
      </c>
      <c r="BU61" s="400">
        <v>-0.02</v>
      </c>
      <c r="BV61" s="400">
        <v>-0.02</v>
      </c>
      <c r="BW61" s="400">
        <v>-0.02</v>
      </c>
      <c r="BX61" s="400">
        <v>-0.02</v>
      </c>
      <c r="BY61" s="400">
        <v>-1.8599999999999998E-2</v>
      </c>
      <c r="BZ61" s="400">
        <v>-1.95E-2</v>
      </c>
      <c r="CA61" s="400">
        <v>-2.12E-2</v>
      </c>
    </row>
    <row r="62" spans="1:121" x14ac:dyDescent="0.2">
      <c r="A62" s="398" t="s">
        <v>96</v>
      </c>
      <c r="B62" s="399"/>
      <c r="C62" s="399"/>
      <c r="D62" s="399"/>
      <c r="E62" s="399"/>
      <c r="F62" s="399"/>
      <c r="G62" s="399"/>
      <c r="H62" s="399"/>
      <c r="I62" s="399"/>
      <c r="J62" s="399"/>
      <c r="K62" s="399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402"/>
      <c r="AH62" s="402"/>
      <c r="AI62" s="402"/>
      <c r="AJ62" s="400">
        <v>5.7000000000000002E-2</v>
      </c>
      <c r="AK62" s="400">
        <v>5.5E-2</v>
      </c>
      <c r="AL62" s="401">
        <v>5.5E-2</v>
      </c>
      <c r="AM62" s="400">
        <v>4.2000000000000003E-2</v>
      </c>
      <c r="AN62" s="400">
        <v>0.03</v>
      </c>
      <c r="AO62" s="400">
        <v>2.1999999999999999E-2</v>
      </c>
      <c r="AP62" s="400">
        <v>1.4E-2</v>
      </c>
      <c r="AQ62" s="400">
        <v>9.7000000000000003E-3</v>
      </c>
      <c r="AR62" s="400">
        <v>2.29E-2</v>
      </c>
      <c r="AS62" s="400">
        <v>2.29E-2</v>
      </c>
      <c r="AT62" s="400">
        <v>2.0199999999999999E-2</v>
      </c>
      <c r="AU62" s="400">
        <v>1.8100000000000002E-2</v>
      </c>
      <c r="AV62" s="400">
        <v>2.0400000000000001E-2</v>
      </c>
      <c r="AW62" s="400">
        <v>1.7600000000000001E-2</v>
      </c>
      <c r="AX62" s="400">
        <v>1.38E-2</v>
      </c>
      <c r="AY62" s="400">
        <v>1.12E-2</v>
      </c>
      <c r="AZ62" s="400">
        <v>1.1299999999999999E-2</v>
      </c>
      <c r="BA62" s="401">
        <v>1.14E-2</v>
      </c>
      <c r="BB62" s="401">
        <v>1.12E-2</v>
      </c>
      <c r="BC62" s="401">
        <v>1.11E-2</v>
      </c>
      <c r="BD62" s="401">
        <v>1.1299999999999999E-2</v>
      </c>
      <c r="BE62" s="401">
        <v>8.6999999999999994E-3</v>
      </c>
      <c r="BF62" s="401">
        <v>8.6E-3</v>
      </c>
      <c r="BG62" s="401">
        <v>8.6E-3</v>
      </c>
      <c r="BH62" s="401">
        <v>8.6999999999999994E-3</v>
      </c>
      <c r="BI62" s="401">
        <v>1.15E-2</v>
      </c>
      <c r="BJ62" s="401">
        <v>1.15E-2</v>
      </c>
      <c r="BK62" s="401">
        <v>1.15E-2</v>
      </c>
      <c r="BL62" s="401">
        <v>1.15E-2</v>
      </c>
      <c r="BM62" s="401">
        <v>6.0000000000000001E-3</v>
      </c>
      <c r="BN62" s="401">
        <v>6.0000000000000001E-3</v>
      </c>
      <c r="BO62" s="400">
        <v>6.0000000000000001E-3</v>
      </c>
      <c r="BP62" s="400">
        <v>6.0000000000000001E-3</v>
      </c>
      <c r="BQ62" s="400">
        <v>6.0000000000000001E-3</v>
      </c>
      <c r="BR62" s="400">
        <v>6.0000000000000001E-3</v>
      </c>
      <c r="BS62" s="400">
        <v>6.0000000000000001E-3</v>
      </c>
      <c r="BT62" s="400">
        <v>6.0000000000000001E-3</v>
      </c>
      <c r="BU62" s="400">
        <v>9.7999999999999997E-3</v>
      </c>
      <c r="BV62" s="400">
        <v>9.7999999999999997E-3</v>
      </c>
      <c r="BW62" s="400">
        <v>9.5999999999999992E-3</v>
      </c>
    </row>
    <row r="63" spans="1:121" x14ac:dyDescent="0.2">
      <c r="A63" s="398" t="s">
        <v>27</v>
      </c>
      <c r="B63" s="400"/>
      <c r="C63" s="400"/>
      <c r="D63" s="400"/>
      <c r="E63" s="400"/>
      <c r="F63" s="400"/>
      <c r="G63" s="400"/>
      <c r="H63" s="400"/>
      <c r="I63" s="400"/>
      <c r="J63" s="400"/>
      <c r="K63" s="400"/>
      <c r="L63" s="400"/>
      <c r="M63" s="400"/>
      <c r="N63" s="400"/>
      <c r="O63" s="400"/>
      <c r="P63" s="400"/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>
        <v>7.6011369500000051E-2</v>
      </c>
      <c r="AH63" s="400">
        <v>7.0999999999999994E-2</v>
      </c>
      <c r="AI63" s="400">
        <v>4.3999999999999997E-2</v>
      </c>
      <c r="AJ63" s="400">
        <v>3.9E-2</v>
      </c>
      <c r="AK63" s="400">
        <v>3.5000000000000003E-2</v>
      </c>
      <c r="AL63" s="401">
        <v>2.9000000000000001E-2</v>
      </c>
      <c r="AM63" s="400">
        <v>1.6E-2</v>
      </c>
      <c r="AN63" s="400">
        <v>7.0000000000000001E-3</v>
      </c>
      <c r="AO63" s="400">
        <v>2.0999999999999999E-3</v>
      </c>
      <c r="AP63" s="400">
        <v>-2.49E-3</v>
      </c>
      <c r="AQ63" s="400">
        <v>-4.7999999999999996E-3</v>
      </c>
      <c r="AR63" s="400">
        <v>-7.0099999999999997E-3</v>
      </c>
      <c r="AS63" s="400">
        <v>-9.2999999999999992E-3</v>
      </c>
      <c r="AT63" s="400">
        <v>-1.17E-2</v>
      </c>
      <c r="AU63" s="400">
        <v>-1.24E-2</v>
      </c>
      <c r="AV63" s="400">
        <v>-1.4E-2</v>
      </c>
      <c r="AW63" s="400">
        <v>-1.6299999999999999E-2</v>
      </c>
      <c r="AX63" s="400">
        <v>-1.8700000000000001E-2</v>
      </c>
      <c r="AY63" s="400">
        <v>-2.1000000000000001E-2</v>
      </c>
      <c r="AZ63" s="400">
        <v>-2.0799999999999999E-2</v>
      </c>
      <c r="BA63" s="401">
        <v>-2.1100000000000001E-2</v>
      </c>
      <c r="BB63" s="401">
        <v>-2.3199999999999998E-2</v>
      </c>
      <c r="BC63" s="401">
        <v>-2.3199999999999998E-2</v>
      </c>
      <c r="BD63" s="401">
        <v>-2.3E-2</v>
      </c>
      <c r="BE63" s="401">
        <v>-2.2800000000000001E-2</v>
      </c>
      <c r="BF63" s="401">
        <v>-2.29E-2</v>
      </c>
      <c r="BG63" s="401">
        <v>-2.29E-2</v>
      </c>
      <c r="BH63" s="401">
        <v>-2.29E-2</v>
      </c>
      <c r="BI63" s="401">
        <v>-2.06E-2</v>
      </c>
      <c r="BJ63" s="401">
        <v>-2.0799999999999999E-2</v>
      </c>
      <c r="BK63" s="401">
        <v>-2.0799999999999999E-2</v>
      </c>
      <c r="BL63" s="401">
        <v>-2.0799999999999999E-2</v>
      </c>
      <c r="BM63" s="401">
        <v>-2.0799999999999999E-2</v>
      </c>
      <c r="BN63" s="401">
        <v>-2.0799999999999999E-2</v>
      </c>
      <c r="BO63" s="400">
        <v>-2.0799999999999999E-2</v>
      </c>
      <c r="BP63" s="400">
        <v>-2.0799999999999999E-2</v>
      </c>
      <c r="BQ63" s="400">
        <v>-2.0799999999999999E-2</v>
      </c>
      <c r="BR63" s="400">
        <v>-2.0500000000000001E-2</v>
      </c>
      <c r="BS63" s="400">
        <v>-2.1299999999999999E-2</v>
      </c>
    </row>
    <row r="64" spans="1:121" x14ac:dyDescent="0.2">
      <c r="A64" s="398" t="s">
        <v>28</v>
      </c>
      <c r="B64" s="400"/>
      <c r="C64" s="400"/>
      <c r="D64" s="400"/>
      <c r="E64" s="400"/>
      <c r="F64" s="400"/>
      <c r="G64" s="400"/>
      <c r="H64" s="400"/>
      <c r="I64" s="400"/>
      <c r="J64" s="400"/>
      <c r="K64" s="400"/>
      <c r="L64" s="400"/>
      <c r="M64" s="400"/>
      <c r="N64" s="400"/>
      <c r="O64" s="400"/>
      <c r="P64" s="400"/>
      <c r="Q64" s="400"/>
      <c r="R64" s="400"/>
      <c r="S64" s="400"/>
      <c r="T64" s="400"/>
      <c r="U64" s="400"/>
      <c r="V64" s="400"/>
      <c r="W64" s="400"/>
      <c r="X64" s="400"/>
      <c r="Y64" s="400"/>
      <c r="Z64" s="400"/>
      <c r="AA64" s="400"/>
      <c r="AB64" s="400"/>
      <c r="AC64" s="400">
        <v>5.6161707044169833E-2</v>
      </c>
      <c r="AD64" s="400">
        <v>6.2497272175720757E-2</v>
      </c>
      <c r="AE64" s="400">
        <v>5.3519999999999998E-2</v>
      </c>
      <c r="AF64" s="400">
        <v>5.255441000000001E-2</v>
      </c>
      <c r="AG64" s="400">
        <v>5.0950603999999976E-2</v>
      </c>
      <c r="AH64" s="400">
        <v>5.0999999999999997E-2</v>
      </c>
      <c r="AI64" s="400">
        <v>3.2000000000000001E-2</v>
      </c>
      <c r="AJ64" s="400">
        <v>4.2000000000000003E-2</v>
      </c>
      <c r="AK64" s="400">
        <v>3.6999999999999998E-2</v>
      </c>
      <c r="AL64" s="401">
        <v>3.1E-2</v>
      </c>
      <c r="AM64" s="400">
        <v>2.4E-2</v>
      </c>
      <c r="AN64" s="400">
        <v>2.1999999999999999E-2</v>
      </c>
      <c r="AO64" s="400">
        <v>1.4999999999999999E-2</v>
      </c>
      <c r="AP64" s="400">
        <v>1.32E-2</v>
      </c>
      <c r="AQ64" s="400">
        <v>1.11E-2</v>
      </c>
      <c r="AR64" s="400">
        <v>1.1010000000000001E-2</v>
      </c>
      <c r="AS64" s="400">
        <v>8.8000000000000005E-3</v>
      </c>
      <c r="AT64" s="400">
        <v>6.7000000000000002E-3</v>
      </c>
      <c r="AU64" s="400">
        <v>6.0000000000000001E-3</v>
      </c>
      <c r="AV64" s="400">
        <v>6.7000000000000002E-3</v>
      </c>
      <c r="AW64" s="400">
        <v>6.7000000000000002E-3</v>
      </c>
      <c r="AX64" s="400">
        <v>3.3999999999999998E-3</v>
      </c>
      <c r="AY64" s="400">
        <v>-8.9999999999999998E-4</v>
      </c>
      <c r="AZ64" s="400">
        <v>-2.8E-3</v>
      </c>
      <c r="BA64" s="401">
        <v>-3.0000000000000001E-3</v>
      </c>
      <c r="BB64" s="401">
        <v>-3.0000000000000001E-3</v>
      </c>
      <c r="BC64" s="401">
        <v>-2.8E-3</v>
      </c>
      <c r="BD64" s="401">
        <v>-4.8999999999999998E-3</v>
      </c>
      <c r="BE64" s="401">
        <v>-6.6E-3</v>
      </c>
      <c r="BF64" s="401">
        <v>-6.6E-3</v>
      </c>
      <c r="BG64" s="401">
        <v>-6.6E-3</v>
      </c>
      <c r="BH64" s="401">
        <v>-6.6E-3</v>
      </c>
      <c r="BI64" s="401">
        <v>-7.1000000000000004E-3</v>
      </c>
      <c r="BJ64" s="401">
        <v>-7.1999999999999998E-3</v>
      </c>
      <c r="BK64" s="401">
        <v>-9.2999999999999992E-3</v>
      </c>
      <c r="BL64" s="401">
        <v>-9.2999999999999992E-3</v>
      </c>
      <c r="BM64" s="401">
        <v>-9.1000000000000004E-3</v>
      </c>
      <c r="BN64" s="401">
        <v>-0.01</v>
      </c>
      <c r="BO64" s="400">
        <v>-9.9000000000000008E-3</v>
      </c>
    </row>
    <row r="65" spans="1:63" x14ac:dyDescent="0.2">
      <c r="A65" s="398" t="s">
        <v>29</v>
      </c>
      <c r="B65" s="400"/>
      <c r="C65" s="400"/>
      <c r="D65" s="400"/>
      <c r="E65" s="400"/>
      <c r="F65" s="400"/>
      <c r="G65" s="400"/>
      <c r="H65" s="400"/>
      <c r="I65" s="400"/>
      <c r="J65" s="400"/>
      <c r="K65" s="400"/>
      <c r="L65" s="400"/>
      <c r="M65" s="400"/>
      <c r="N65" s="400"/>
      <c r="O65" s="400"/>
      <c r="P65" s="400"/>
      <c r="Q65" s="400"/>
      <c r="R65" s="400"/>
      <c r="S65" s="400"/>
      <c r="T65" s="400"/>
      <c r="U65" s="400"/>
      <c r="V65" s="400"/>
      <c r="W65" s="400"/>
      <c r="X65" s="400"/>
      <c r="Y65" s="400"/>
      <c r="Z65" s="400">
        <v>2.6306592721135898E-2</v>
      </c>
      <c r="AA65" s="400">
        <v>2.413838416370535E-2</v>
      </c>
      <c r="AB65" s="400">
        <v>2.4222303248977874E-2</v>
      </c>
      <c r="AC65" s="400">
        <v>2.8786220937943641E-2</v>
      </c>
      <c r="AD65" s="400">
        <v>2.5509488784488839E-2</v>
      </c>
      <c r="AE65" s="400">
        <v>2.7E-2</v>
      </c>
      <c r="AF65" s="400">
        <v>2.7786964000000001E-2</v>
      </c>
      <c r="AG65" s="400">
        <v>2.7693145999999998E-2</v>
      </c>
      <c r="AH65" s="400">
        <v>0.03</v>
      </c>
      <c r="AI65" s="400">
        <v>0.03</v>
      </c>
      <c r="AJ65" s="400">
        <v>0.04</v>
      </c>
      <c r="AK65" s="400">
        <v>4.1000000000000002E-2</v>
      </c>
      <c r="AL65" s="401">
        <v>4.1000000000000002E-2</v>
      </c>
      <c r="AM65" s="400">
        <v>4.1000000000000002E-2</v>
      </c>
      <c r="AN65" s="400">
        <v>3.9E-2</v>
      </c>
      <c r="AO65" s="400">
        <v>3.6999999999999998E-2</v>
      </c>
      <c r="AP65" s="400">
        <v>3.3489999999999999E-2</v>
      </c>
      <c r="AQ65" s="400">
        <v>3.3000000000000002E-2</v>
      </c>
      <c r="AR65" s="400">
        <v>3.3500000000000002E-2</v>
      </c>
      <c r="AS65" s="400">
        <v>3.1600000000000003E-2</v>
      </c>
      <c r="AT65" s="400">
        <v>3.1600000000000003E-2</v>
      </c>
      <c r="AU65" s="400">
        <v>3.0800000000000001E-2</v>
      </c>
      <c r="AV65" s="400">
        <v>3.3500000000000002E-2</v>
      </c>
      <c r="AW65" s="400">
        <v>3.3500000000000002E-2</v>
      </c>
      <c r="AX65" s="400">
        <v>2.8400000000000002E-2</v>
      </c>
      <c r="AY65" s="400">
        <v>2.3099999999999999E-2</v>
      </c>
      <c r="AZ65" s="400">
        <v>2.18E-2</v>
      </c>
      <c r="BA65" s="401">
        <v>2.1499999999999998E-2</v>
      </c>
      <c r="BB65" s="401">
        <v>0.02</v>
      </c>
      <c r="BC65" s="401">
        <v>2.01E-2</v>
      </c>
      <c r="BD65" s="401">
        <v>1.8499999999999999E-2</v>
      </c>
      <c r="BE65" s="401">
        <v>1.7399999999999999E-2</v>
      </c>
      <c r="BF65" s="401">
        <v>1.9599999999999999E-2</v>
      </c>
      <c r="BG65" s="401">
        <v>1.9599999999999999E-2</v>
      </c>
      <c r="BH65" s="401">
        <v>1.9599999999999999E-2</v>
      </c>
      <c r="BI65" s="401">
        <v>1.9699999999999999E-2</v>
      </c>
      <c r="BJ65" s="401">
        <v>0.02</v>
      </c>
      <c r="BK65" s="401">
        <v>1.9800000000000002E-2</v>
      </c>
    </row>
    <row r="66" spans="1:63" x14ac:dyDescent="0.2">
      <c r="A66" s="398" t="s">
        <v>30</v>
      </c>
      <c r="B66" s="400"/>
      <c r="C66" s="400"/>
      <c r="D66" s="400"/>
      <c r="E66" s="400"/>
      <c r="F66" s="400"/>
      <c r="G66" s="400"/>
      <c r="H66" s="400"/>
      <c r="I66" s="400"/>
      <c r="J66" s="400"/>
      <c r="K66" s="400"/>
      <c r="L66" s="400"/>
      <c r="M66" s="400"/>
      <c r="N66" s="400"/>
      <c r="O66" s="400"/>
      <c r="P66" s="400"/>
      <c r="Q66" s="400"/>
      <c r="R66" s="400"/>
      <c r="S66" s="400"/>
      <c r="T66" s="400"/>
      <c r="U66" s="400"/>
      <c r="V66" s="403">
        <v>8.5780917850413561E-3</v>
      </c>
      <c r="W66" s="404">
        <v>1.4610152182441459E-2</v>
      </c>
      <c r="X66" s="404">
        <v>1.2188856634886761E-2</v>
      </c>
      <c r="Y66" s="400">
        <v>8.9999999999999993E-3</v>
      </c>
      <c r="Z66" s="400">
        <v>1.1637309250945927E-2</v>
      </c>
      <c r="AA66" s="400">
        <v>9.3555760236906579E-3</v>
      </c>
      <c r="AB66" s="400">
        <v>9.4760401175357951E-3</v>
      </c>
      <c r="AC66" s="400">
        <v>8.4792757279230375E-3</v>
      </c>
      <c r="AD66" s="400">
        <v>1.4055979985270075E-2</v>
      </c>
      <c r="AE66" s="400">
        <v>1.4946075000000003E-2</v>
      </c>
      <c r="AF66" s="400">
        <v>1.5159567999999998E-2</v>
      </c>
      <c r="AG66" s="400">
        <v>1.5326849999999996E-2</v>
      </c>
      <c r="AH66" s="400">
        <v>1.4E-2</v>
      </c>
      <c r="AI66" s="400">
        <v>1.4E-2</v>
      </c>
      <c r="AJ66" s="400">
        <v>1.4999999999999999E-2</v>
      </c>
      <c r="AK66" s="400">
        <v>1.4999999999999999E-2</v>
      </c>
      <c r="AL66" s="401">
        <v>1.4E-2</v>
      </c>
      <c r="AM66" s="400">
        <v>1.4E-2</v>
      </c>
      <c r="AN66" s="400">
        <v>1.4E-2</v>
      </c>
      <c r="AO66" s="400">
        <v>1.4E-2</v>
      </c>
      <c r="AP66" s="400">
        <v>1.2800000000000001E-2</v>
      </c>
      <c r="AQ66" s="400">
        <v>1.2800000000000001E-2</v>
      </c>
      <c r="AR66" s="400">
        <v>1.281E-2</v>
      </c>
      <c r="AS66" s="400">
        <v>1.29E-2</v>
      </c>
      <c r="AT66" s="400">
        <v>1.1900000000000001E-2</v>
      </c>
      <c r="AU66" s="400">
        <v>1.1599999999999999E-2</v>
      </c>
      <c r="AV66" s="400">
        <v>1.09E-2</v>
      </c>
      <c r="AW66" s="400">
        <v>9.9000000000000008E-3</v>
      </c>
      <c r="AX66" s="400">
        <v>7.3000000000000001E-3</v>
      </c>
      <c r="AY66" s="400">
        <v>7.4000000000000003E-3</v>
      </c>
      <c r="AZ66" s="400">
        <v>7.4000000000000003E-3</v>
      </c>
      <c r="BA66" s="401">
        <v>7.7999999999999996E-3</v>
      </c>
      <c r="BB66" s="401">
        <v>7.7999999999999996E-3</v>
      </c>
      <c r="BC66" s="401">
        <v>7.3000000000000001E-3</v>
      </c>
      <c r="BD66" s="401">
        <v>6.4000000000000003E-3</v>
      </c>
      <c r="BE66" s="401">
        <v>6.3E-3</v>
      </c>
      <c r="BF66" s="401">
        <v>7.1000000000000004E-3</v>
      </c>
      <c r="BG66" s="401">
        <v>7.7000000000000002E-3</v>
      </c>
    </row>
    <row r="67" spans="1:63" x14ac:dyDescent="0.2">
      <c r="A67" s="398" t="s">
        <v>31</v>
      </c>
      <c r="B67" s="400"/>
      <c r="C67" s="400"/>
      <c r="D67" s="400"/>
      <c r="E67" s="400"/>
      <c r="F67" s="400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>
        <v>0</v>
      </c>
      <c r="S67" s="400">
        <v>0</v>
      </c>
      <c r="T67" s="400">
        <v>0</v>
      </c>
      <c r="U67" s="400">
        <v>-2E-3</v>
      </c>
      <c r="V67" s="403">
        <v>-2.4629117406526541E-3</v>
      </c>
      <c r="W67" s="404">
        <v>-2.4478291682950293E-3</v>
      </c>
      <c r="X67" s="404">
        <v>-2.5127219121839992E-3</v>
      </c>
      <c r="Y67" s="405">
        <v>-3.0000000000000001E-3</v>
      </c>
      <c r="Z67" s="400">
        <v>-3.0308063409654274E-3</v>
      </c>
      <c r="AA67" s="400">
        <v>-3.0096131021326647E-3</v>
      </c>
      <c r="AB67" s="400">
        <v>-3.0021705257597875E-3</v>
      </c>
      <c r="AC67" s="400">
        <v>-3.5567345915945448E-3</v>
      </c>
      <c r="AD67" s="400">
        <v>-3.1118659723517786E-3</v>
      </c>
      <c r="AE67" s="400">
        <v>-3.3851519999999959E-3</v>
      </c>
      <c r="AF67" s="400">
        <v>-4.0954319999999969E-3</v>
      </c>
      <c r="AG67" s="400">
        <v>-4.5296499999999953E-3</v>
      </c>
      <c r="AH67" s="400">
        <v>-7.0000000000000001E-3</v>
      </c>
      <c r="AI67" s="400">
        <v>-8.0000000000000002E-3</v>
      </c>
      <c r="AJ67" s="400">
        <v>-0.01</v>
      </c>
      <c r="AK67" s="400">
        <v>-0.01</v>
      </c>
      <c r="AL67" s="401">
        <v>-1.0999999999999999E-2</v>
      </c>
      <c r="AM67" s="400">
        <v>-1.2E-2</v>
      </c>
      <c r="AN67" s="400">
        <v>-1.2999999999999999E-2</v>
      </c>
      <c r="AO67" s="400">
        <v>-1.2999999999999999E-2</v>
      </c>
      <c r="AP67" s="400">
        <v>-1.5100000000000001E-2</v>
      </c>
      <c r="AQ67" s="400">
        <v>-1.5599999999999999E-2</v>
      </c>
      <c r="AR67" s="400">
        <v>-1.5990000000000001E-2</v>
      </c>
      <c r="AS67" s="400">
        <v>-1.6500000000000001E-2</v>
      </c>
      <c r="AT67" s="400">
        <v>-1.7399999999999999E-2</v>
      </c>
      <c r="AU67" s="400">
        <v>-1.7399999999999999E-2</v>
      </c>
      <c r="AV67" s="400">
        <v>-1.7399999999999999E-2</v>
      </c>
      <c r="AW67" s="400">
        <v>-1.84E-2</v>
      </c>
      <c r="AX67" s="400">
        <v>-1.84E-2</v>
      </c>
      <c r="AY67" s="400">
        <v>-1.9300000000000001E-2</v>
      </c>
      <c r="AZ67" s="400">
        <v>-2.0299999999999999E-2</v>
      </c>
      <c r="BA67" s="401">
        <v>-2.0400000000000001E-2</v>
      </c>
      <c r="BB67" s="401">
        <v>-2.07E-2</v>
      </c>
      <c r="BC67" s="401">
        <v>-2.0899999999999998E-2</v>
      </c>
    </row>
    <row r="68" spans="1:63" x14ac:dyDescent="0.2">
      <c r="A68" s="398" t="s">
        <v>32</v>
      </c>
      <c r="B68" s="400"/>
      <c r="C68" s="400"/>
      <c r="D68" s="400"/>
      <c r="E68" s="400"/>
      <c r="F68" s="400"/>
      <c r="G68" s="400"/>
      <c r="H68" s="400"/>
      <c r="I68" s="400"/>
      <c r="J68" s="400"/>
      <c r="K68" s="400"/>
      <c r="L68" s="400"/>
      <c r="M68" s="400">
        <v>2.1749999999999977E-3</v>
      </c>
      <c r="N68" s="400">
        <v>3.4319999999999989E-3</v>
      </c>
      <c r="O68" s="400">
        <v>-2.3100000000000448E-4</v>
      </c>
      <c r="P68" s="400">
        <v>-2E-3</v>
      </c>
      <c r="Q68" s="400">
        <v>-2.9668809755235446E-3</v>
      </c>
      <c r="R68" s="400">
        <v>-5.0000000000000001E-3</v>
      </c>
      <c r="S68" s="400">
        <v>-5.0000000000000001E-3</v>
      </c>
      <c r="T68" s="400">
        <v>-7.0000000000000001E-3</v>
      </c>
      <c r="U68" s="400">
        <v>-8.0000000000000002E-3</v>
      </c>
      <c r="V68" s="403">
        <v>-9.0132317148840044E-3</v>
      </c>
      <c r="W68" s="404">
        <v>-9.0306508646427926E-3</v>
      </c>
      <c r="X68" s="404">
        <v>-9.9672333483390128E-3</v>
      </c>
      <c r="Y68" s="405">
        <v>-0.01</v>
      </c>
      <c r="Z68" s="400">
        <v>-9.899664293244119E-3</v>
      </c>
      <c r="AA68" s="400">
        <v>-9.8926036392832407E-3</v>
      </c>
      <c r="AB68" s="400">
        <v>-1.0209941338203965E-2</v>
      </c>
      <c r="AC68" s="400">
        <v>-1.1045976439027737E-2</v>
      </c>
      <c r="AD68" s="400">
        <v>-1.0876823045898551E-2</v>
      </c>
      <c r="AE68" s="400">
        <v>-1.1807320000000005E-2</v>
      </c>
      <c r="AF68" s="400">
        <v>-1.2155920000000004E-2</v>
      </c>
      <c r="AG68" s="400">
        <v>-1.2504520000000002E-2</v>
      </c>
      <c r="AH68" s="400">
        <v>-1.2999999999999999E-2</v>
      </c>
      <c r="AI68" s="400">
        <v>-1.2999999999999999E-2</v>
      </c>
      <c r="AJ68" s="400">
        <v>-0.01</v>
      </c>
      <c r="AK68" s="400">
        <v>-1.2999999999999999E-2</v>
      </c>
      <c r="AL68" s="401">
        <v>-1.2999999999999999E-2</v>
      </c>
      <c r="AM68" s="400">
        <v>-1.4E-2</v>
      </c>
      <c r="AN68" s="400">
        <v>-1.4E-2</v>
      </c>
      <c r="AO68" s="400">
        <v>-1.4E-2</v>
      </c>
      <c r="AP68" s="400">
        <v>-1.37E-2</v>
      </c>
      <c r="AQ68" s="400">
        <v>-1.37E-2</v>
      </c>
      <c r="AR68" s="400">
        <v>-1.366E-2</v>
      </c>
      <c r="AS68" s="400">
        <v>-1.38E-2</v>
      </c>
      <c r="AT68" s="400">
        <v>-1.38E-2</v>
      </c>
      <c r="AU68" s="400">
        <v>-1.38E-2</v>
      </c>
      <c r="AV68" s="400">
        <v>-1.3899999999999999E-2</v>
      </c>
      <c r="AW68" s="400">
        <v>-1.44E-2</v>
      </c>
      <c r="AX68" s="400">
        <v>-1.4200000000000001E-2</v>
      </c>
      <c r="AY68" s="400">
        <v>-1.4800000000000001E-2</v>
      </c>
      <c r="AZ68" s="400"/>
    </row>
    <row r="69" spans="1:63" x14ac:dyDescent="0.2">
      <c r="A69" s="398" t="s">
        <v>33</v>
      </c>
      <c r="B69" s="400"/>
      <c r="C69" s="400"/>
      <c r="D69" s="400"/>
      <c r="E69" s="400"/>
      <c r="F69" s="400"/>
      <c r="G69" s="400"/>
      <c r="H69" s="400"/>
      <c r="I69" s="400">
        <v>1.081386044688191E-3</v>
      </c>
      <c r="J69" s="400">
        <v>-2.5082987104462417E-3</v>
      </c>
      <c r="K69" s="400">
        <v>-5.0161639754175182E-3</v>
      </c>
      <c r="L69" s="400">
        <v>-8.5724033372984367E-3</v>
      </c>
      <c r="M69" s="400">
        <v>-1.1039000000000004E-2</v>
      </c>
      <c r="N69" s="400">
        <v>-1.2103000000000004E-2</v>
      </c>
      <c r="O69" s="400">
        <v>-1.6758000000000009E-2</v>
      </c>
      <c r="P69" s="400">
        <v>-1.7999999999999999E-2</v>
      </c>
      <c r="Q69" s="400">
        <v>-1.8279090588806546E-2</v>
      </c>
      <c r="R69" s="400">
        <v>-1.9E-2</v>
      </c>
      <c r="S69" s="400">
        <v>-1.9E-2</v>
      </c>
      <c r="T69" s="400">
        <v>-0.02</v>
      </c>
      <c r="U69" s="400">
        <v>-2.1000000000000001E-2</v>
      </c>
      <c r="V69" s="403">
        <v>-2.1938727988513203E-2</v>
      </c>
      <c r="W69" s="404">
        <v>-2.2054702347630552E-2</v>
      </c>
      <c r="X69" s="404">
        <v>-2.1938897275059863E-2</v>
      </c>
      <c r="Y69" s="405">
        <v>-2.1999999999999999E-2</v>
      </c>
      <c r="Z69" s="400">
        <v>-2.2367934268799294E-2</v>
      </c>
      <c r="AA69" s="400">
        <v>-2.2359318849200432E-2</v>
      </c>
      <c r="AB69" s="400">
        <v>-2.2987148180280775E-2</v>
      </c>
      <c r="AC69" s="400">
        <v>-2.6521674223658458E-2</v>
      </c>
      <c r="AD69" s="400">
        <v>-2.3605163245277786E-2</v>
      </c>
      <c r="AE69" s="400">
        <v>-2.351809199999999E-2</v>
      </c>
      <c r="AF69" s="400">
        <v>-2.3506530000000001E-2</v>
      </c>
      <c r="AG69" s="400">
        <v>-2.5033707000000009E-2</v>
      </c>
      <c r="AH69" s="400">
        <v>-2.5000000000000001E-2</v>
      </c>
      <c r="AI69" s="400">
        <v>-2.5000000000000001E-2</v>
      </c>
      <c r="AJ69" s="400">
        <v>-0.03</v>
      </c>
      <c r="AK69" s="400">
        <v>-2.5999999999999999E-2</v>
      </c>
      <c r="AL69" s="401">
        <v>-2.8000000000000001E-2</v>
      </c>
      <c r="AM69" s="400">
        <v>-2.9000000000000001E-2</v>
      </c>
      <c r="AN69" s="400">
        <v>-2.9000000000000001E-2</v>
      </c>
      <c r="AO69" s="400">
        <v>-2.9000000000000001E-2</v>
      </c>
      <c r="AP69" s="400">
        <v>-3.04E-2</v>
      </c>
      <c r="AQ69" s="400">
        <v>-3.0200000000000001E-2</v>
      </c>
      <c r="AR69" s="400">
        <v>-3.082E-2</v>
      </c>
      <c r="AS69" s="400">
        <v>-3.1699999999999999E-2</v>
      </c>
      <c r="AT69" s="400">
        <v>-3.1800000000000002E-2</v>
      </c>
      <c r="AU69" s="400">
        <v>-3.2599999999999997E-2</v>
      </c>
      <c r="AV69" s="400"/>
    </row>
    <row r="70" spans="1:63" x14ac:dyDescent="0.2">
      <c r="A70" s="398" t="s">
        <v>34</v>
      </c>
      <c r="B70" s="400"/>
      <c r="C70" s="400"/>
      <c r="D70" s="400"/>
      <c r="E70" s="400">
        <v>-1E-3</v>
      </c>
      <c r="F70" s="400">
        <v>0</v>
      </c>
      <c r="G70" s="400">
        <v>-3.6576098698483573E-4</v>
      </c>
      <c r="H70" s="400">
        <v>-8.1134847859630991E-3</v>
      </c>
      <c r="I70" s="400">
        <v>-1.5412799830363345E-2</v>
      </c>
      <c r="J70" s="400">
        <v>-1.7114301104251453E-2</v>
      </c>
      <c r="K70" s="400">
        <v>-2.1141614244131943E-2</v>
      </c>
      <c r="L70" s="400">
        <v>-2.9554220509162437E-2</v>
      </c>
      <c r="M70" s="400">
        <v>-3.5020000000000009E-2</v>
      </c>
      <c r="N70" s="400">
        <v>-3.5019999999999982E-2</v>
      </c>
      <c r="O70" s="400">
        <v>-3.7285999999999986E-2</v>
      </c>
      <c r="P70" s="400">
        <v>-4.2000000000000003E-2</v>
      </c>
      <c r="Q70" s="400">
        <v>-3.911207792686431E-2</v>
      </c>
      <c r="R70" s="400">
        <v>-0.04</v>
      </c>
      <c r="S70" s="400">
        <v>-3.5999999999999997E-2</v>
      </c>
      <c r="T70" s="400">
        <v>-3.6999999999999998E-2</v>
      </c>
      <c r="U70" s="400">
        <v>-3.6999999999999998E-2</v>
      </c>
      <c r="V70" s="403">
        <v>-3.7956091921234655E-2</v>
      </c>
      <c r="W70" s="404">
        <v>-3.7961073944938452E-2</v>
      </c>
      <c r="X70" s="404">
        <v>-3.7964212951946914E-2</v>
      </c>
      <c r="Y70" s="405">
        <v>-3.7999999999999999E-2</v>
      </c>
      <c r="Z70" s="400">
        <v>-3.7602190633560219E-2</v>
      </c>
      <c r="AA70" s="400">
        <v>-3.7588399159675878E-2</v>
      </c>
      <c r="AB70" s="400">
        <v>-3.7578265138203365E-2</v>
      </c>
      <c r="AC70" s="400">
        <v>-3.2627973096788984E-2</v>
      </c>
      <c r="AD70" s="400">
        <v>-3.7562595977159198E-2</v>
      </c>
      <c r="AE70" s="400">
        <v>-3.9440895999999996E-2</v>
      </c>
      <c r="AF70" s="400">
        <v>-3.9404800000000004E-2</v>
      </c>
      <c r="AG70" s="400">
        <v>-4.1025936000000013E-2</v>
      </c>
      <c r="AH70" s="400">
        <v>-4.1000000000000002E-2</v>
      </c>
      <c r="AI70" s="400">
        <v>-4.1000000000000002E-2</v>
      </c>
      <c r="AJ70" s="400">
        <v>-0.04</v>
      </c>
      <c r="AK70" s="400">
        <v>-4.2000000000000003E-2</v>
      </c>
      <c r="AL70" s="401">
        <v>-4.2000000000000003E-2</v>
      </c>
      <c r="AM70" s="400">
        <v>-4.2999999999999997E-2</v>
      </c>
      <c r="AN70" s="400">
        <v>-4.4999999999999998E-2</v>
      </c>
      <c r="AO70" s="400">
        <v>-4.5999999999999999E-2</v>
      </c>
      <c r="AP70" s="406">
        <v>-4.6399999999999997E-2</v>
      </c>
      <c r="AQ70" s="406">
        <v>-4.6300000000000001E-2</v>
      </c>
      <c r="AR70" s="400">
        <v>-4.861E-2</v>
      </c>
      <c r="AS70" s="400">
        <v>-4.7899999999999998E-2</v>
      </c>
      <c r="AT70" s="400"/>
      <c r="AU70" s="400"/>
    </row>
    <row r="71" spans="1:63" x14ac:dyDescent="0.2">
      <c r="A71" s="398" t="s">
        <v>35</v>
      </c>
      <c r="B71" s="400">
        <v>-1.188000000000001E-2</v>
      </c>
      <c r="C71" s="400">
        <v>-1.9649999999999997E-2</v>
      </c>
      <c r="D71" s="400">
        <v>-2.5999999999999999E-2</v>
      </c>
      <c r="E71" s="400">
        <v>-2.9000000000000001E-2</v>
      </c>
      <c r="F71" s="400">
        <v>-2.9923803941911725E-2</v>
      </c>
      <c r="G71" s="400">
        <v>-3.1797272474029602E-2</v>
      </c>
      <c r="H71" s="400">
        <v>-3.9127895496232766E-2</v>
      </c>
      <c r="I71" s="400">
        <v>-4.2666928704010711E-2</v>
      </c>
      <c r="J71" s="400">
        <v>-4.4815691911365411E-2</v>
      </c>
      <c r="K71" s="400">
        <v>-4.870156400540171E-2</v>
      </c>
      <c r="L71" s="400">
        <v>-5.4719080702288168E-2</v>
      </c>
      <c r="M71" s="400">
        <v>-5.7524000000000033E-2</v>
      </c>
      <c r="N71" s="400">
        <v>-5.8311999999999989E-2</v>
      </c>
      <c r="O71" s="400">
        <v>-5.8311999999999989E-2</v>
      </c>
      <c r="P71" s="400">
        <v>-6.4000000000000001E-2</v>
      </c>
      <c r="Q71" s="400">
        <v>-6.0816905700087388E-2</v>
      </c>
      <c r="R71" s="400">
        <v>-6.3E-2</v>
      </c>
      <c r="S71" s="400">
        <v>-6.2E-2</v>
      </c>
      <c r="T71" s="400">
        <v>-6.2E-2</v>
      </c>
      <c r="U71" s="400">
        <v>-6.3E-2</v>
      </c>
      <c r="V71" s="403">
        <v>-6.2872055937201424E-2</v>
      </c>
      <c r="W71" s="404">
        <v>-6.2877849404682065E-2</v>
      </c>
      <c r="X71" s="404">
        <v>-6.0129632050307733E-2</v>
      </c>
      <c r="Y71" s="405">
        <v>-6.0999999999999999E-2</v>
      </c>
      <c r="Z71" s="400">
        <v>-6.0493851159617376E-2</v>
      </c>
      <c r="AA71" s="400">
        <v>-5.647620282915345E-2</v>
      </c>
      <c r="AB71" s="400">
        <v>-5.6448773160897261E-2</v>
      </c>
      <c r="AC71" s="400">
        <v>-5.7146688380811439E-2</v>
      </c>
      <c r="AD71" s="400">
        <v>-5.8427662585961396E-2</v>
      </c>
      <c r="AE71" s="400">
        <v>-6.2283818999999976E-2</v>
      </c>
      <c r="AF71" s="400">
        <v>-6.2255129999999978E-2</v>
      </c>
      <c r="AG71" s="400">
        <v>-6.553909799999999E-2</v>
      </c>
      <c r="AH71" s="400">
        <v>-6.6000000000000003E-2</v>
      </c>
      <c r="AI71" s="400">
        <v>-6.8000000000000005E-2</v>
      </c>
      <c r="AJ71" s="400">
        <v>-7.0000000000000007E-2</v>
      </c>
      <c r="AK71" s="400">
        <v>-6.5000000000000002E-2</v>
      </c>
      <c r="AL71" s="401">
        <v>-6.6000000000000003E-2</v>
      </c>
      <c r="AM71" s="400">
        <v>-6.6000000000000003E-2</v>
      </c>
      <c r="AN71" s="400"/>
    </row>
    <row r="72" spans="1:63" x14ac:dyDescent="0.2">
      <c r="A72" s="398" t="s">
        <v>98</v>
      </c>
      <c r="B72" s="400">
        <v>-0.11840800000000003</v>
      </c>
      <c r="C72" s="400">
        <v>-0.13337999999999994</v>
      </c>
      <c r="D72" s="400">
        <v>-0.14199999999999999</v>
      </c>
      <c r="E72" s="400">
        <v>-0.14899999999999999</v>
      </c>
      <c r="F72" s="400">
        <v>-0.15268408978676712</v>
      </c>
      <c r="G72" s="400">
        <v>-0.15675161124832829</v>
      </c>
      <c r="H72" s="400">
        <v>-0.16446723013631606</v>
      </c>
      <c r="I72" s="400">
        <v>-0.17139928489934028</v>
      </c>
      <c r="J72" s="400">
        <v>-0.17167465579059749</v>
      </c>
      <c r="K72" s="400">
        <v>-0.17549967938284436</v>
      </c>
      <c r="L72" s="400">
        <v>-0.17933740616650296</v>
      </c>
      <c r="M72" s="400">
        <v>-0.17615200000000003</v>
      </c>
      <c r="N72" s="400">
        <v>-0.17615200000000003</v>
      </c>
      <c r="O72" s="400">
        <v>-0.18003200000000003</v>
      </c>
      <c r="P72" s="400">
        <v>-0.184</v>
      </c>
      <c r="Q72" s="400">
        <v>-0.19107419011978391</v>
      </c>
      <c r="R72" s="400">
        <v>-0.19500000000000001</v>
      </c>
      <c r="S72" s="400">
        <v>-0.19800000000000001</v>
      </c>
      <c r="T72" s="400">
        <v>-0.19800000000000001</v>
      </c>
      <c r="U72" s="400">
        <v>-0.19800000000000001</v>
      </c>
      <c r="V72" s="403">
        <v>-0.19777163274736007</v>
      </c>
      <c r="W72" s="404">
        <v>-0.19778720585229226</v>
      </c>
      <c r="X72" s="404">
        <v>-0.19781518669747813</v>
      </c>
      <c r="Y72" s="405">
        <v>-0.19900000000000001</v>
      </c>
      <c r="Z72" s="400">
        <v>-0.19828088942736108</v>
      </c>
      <c r="AA72" s="400">
        <v>-0.19818502224692944</v>
      </c>
      <c r="AB72" s="400">
        <v>-0.19813049226936263</v>
      </c>
      <c r="AC72" s="400">
        <v>-0.18142007796344028</v>
      </c>
      <c r="AD72" s="400">
        <v>-0.19415159055883038</v>
      </c>
      <c r="AE72" s="400">
        <v>-0.20196049299999999</v>
      </c>
      <c r="AF72" s="400">
        <v>-0.20195337400000005</v>
      </c>
      <c r="AG72" s="400">
        <v>-0.21601565200000003</v>
      </c>
      <c r="AH72" s="400">
        <v>-0.218</v>
      </c>
      <c r="AI72" s="400">
        <v>-0.218</v>
      </c>
      <c r="AJ72" s="400">
        <v>-0.22</v>
      </c>
      <c r="AK72" s="400"/>
    </row>
  </sheetData>
  <phoneticPr fontId="4" type="noConversion"/>
  <pageMargins left="0.75" right="0.75" top="1" bottom="1" header="0.75" footer="0.5"/>
  <pageSetup fitToHeight="0" orientation="landscape" horizontalDpi="1200" verticalDpi="1200" r:id="rId1"/>
  <headerFooter alignWithMargins="0">
    <oddHeader>&amp;R&amp;"Verdana,Regular"Exhibit 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499984740745262"/>
    <pageSetUpPr fitToPage="1"/>
  </sheetPr>
  <dimension ref="B1:O27"/>
  <sheetViews>
    <sheetView topLeftCell="A3" zoomScale="80" zoomScaleNormal="80" workbookViewId="0">
      <selection activeCell="K37" sqref="K37"/>
    </sheetView>
  </sheetViews>
  <sheetFormatPr defaultColWidth="10.28515625" defaultRowHeight="12.75" x14ac:dyDescent="0.2"/>
  <cols>
    <col min="1" max="1" width="5.28515625" style="221" customWidth="1"/>
    <col min="2" max="2" width="10.28515625" style="223" customWidth="1"/>
    <col min="3" max="16384" width="10.28515625" style="221"/>
  </cols>
  <sheetData>
    <row r="1" spans="2:15" ht="18.75" x14ac:dyDescent="0.3">
      <c r="B1" s="443" t="s">
        <v>79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2:15" ht="18.75" x14ac:dyDescent="0.3">
      <c r="B2" s="319"/>
      <c r="C2" s="319"/>
      <c r="D2" s="319"/>
      <c r="E2" s="319"/>
      <c r="F2" s="319"/>
      <c r="G2" s="319"/>
      <c r="H2" s="319"/>
      <c r="I2" s="319"/>
      <c r="J2" s="319"/>
      <c r="K2" s="316"/>
      <c r="L2" s="316"/>
      <c r="M2" s="316"/>
      <c r="N2" s="316"/>
      <c r="O2" s="316"/>
    </row>
    <row r="3" spans="2:15" ht="13.5" customHeight="1" x14ac:dyDescent="0.3">
      <c r="B3" s="317" t="s">
        <v>236</v>
      </c>
      <c r="C3" s="319"/>
      <c r="D3" s="319"/>
      <c r="E3" s="319"/>
      <c r="F3" s="319"/>
      <c r="G3" s="319"/>
      <c r="H3" s="319"/>
      <c r="I3" s="319"/>
      <c r="J3" s="319"/>
      <c r="K3" s="316"/>
      <c r="L3" s="316"/>
      <c r="M3" s="316"/>
      <c r="N3" s="316"/>
      <c r="O3" s="316"/>
    </row>
    <row r="4" spans="2:15" x14ac:dyDescent="0.2">
      <c r="B4" s="320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</row>
    <row r="5" spans="2:15" ht="13.5" thickBot="1" x14ac:dyDescent="0.25"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</row>
    <row r="6" spans="2:15" ht="17.25" customHeight="1" x14ac:dyDescent="0.2">
      <c r="B6" s="321" t="s">
        <v>217</v>
      </c>
      <c r="C6" s="322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4"/>
    </row>
    <row r="7" spans="2:15" ht="17.25" customHeight="1" thickBot="1" x14ac:dyDescent="0.25">
      <c r="B7" s="337">
        <f>D27</f>
        <v>2.2671E-2</v>
      </c>
      <c r="C7" s="325">
        <v>0</v>
      </c>
      <c r="D7" s="326">
        <v>0.01</v>
      </c>
      <c r="E7" s="326">
        <v>0.02</v>
      </c>
      <c r="F7" s="326">
        <v>0.03</v>
      </c>
      <c r="G7" s="326">
        <v>0.04</v>
      </c>
      <c r="H7" s="326">
        <v>0.05</v>
      </c>
      <c r="I7" s="326">
        <v>0.06</v>
      </c>
      <c r="J7" s="326">
        <v>7.0000000000000007E-2</v>
      </c>
      <c r="K7" s="326">
        <v>0.08</v>
      </c>
      <c r="L7" s="326">
        <v>0.09</v>
      </c>
      <c r="M7" s="326">
        <v>0.1</v>
      </c>
      <c r="N7" s="326">
        <v>0.11</v>
      </c>
      <c r="O7" s="327">
        <v>0.12</v>
      </c>
    </row>
    <row r="8" spans="2:15" ht="24.75" customHeight="1" x14ac:dyDescent="0.2">
      <c r="B8" s="329">
        <v>2025</v>
      </c>
      <c r="C8" s="338">
        <f t="dataTable" ref="C8:O17" dt2D="1" dtr="1" r1="D26" r2="D25"/>
        <v>2.2671E-2</v>
      </c>
      <c r="D8" s="339">
        <v>1.7996999999999999E-2</v>
      </c>
      <c r="E8" s="339">
        <v>1.4128999999999999E-2</v>
      </c>
      <c r="F8" s="339">
        <v>1.0659999999999999E-2</v>
      </c>
      <c r="G8" s="339">
        <v>7.5900000000000004E-3</v>
      </c>
      <c r="H8" s="339">
        <v>4.921E-3</v>
      </c>
      <c r="I8" s="339">
        <v>2.5149999999999999E-3</v>
      </c>
      <c r="J8" s="339">
        <v>2.3699999999999999E-4</v>
      </c>
      <c r="K8" s="339">
        <v>-1.7769999999999999E-3</v>
      </c>
      <c r="L8" s="339">
        <v>-3.6619999999999999E-3</v>
      </c>
      <c r="M8" s="339">
        <v>-5.2830000000000004E-3</v>
      </c>
      <c r="N8" s="339">
        <v>-6.9109999999999996E-3</v>
      </c>
      <c r="O8" s="342">
        <v>-8.4089999999999998E-3</v>
      </c>
    </row>
    <row r="9" spans="2:15" ht="24.75" customHeight="1" x14ac:dyDescent="0.2">
      <c r="B9" s="329">
        <v>2024</v>
      </c>
      <c r="C9" s="315">
        <v>2.8766E-2</v>
      </c>
      <c r="D9" s="345">
        <v>2.3917999999999998E-2</v>
      </c>
      <c r="E9" s="345">
        <v>1.9727999999999999E-2</v>
      </c>
      <c r="F9" s="345">
        <v>1.6195999999999999E-2</v>
      </c>
      <c r="G9" s="345">
        <v>1.2921E-2</v>
      </c>
      <c r="H9" s="345">
        <v>1.0172E-2</v>
      </c>
      <c r="I9" s="345">
        <v>7.5469999999999999E-3</v>
      </c>
      <c r="J9" s="345">
        <v>5.182E-3</v>
      </c>
      <c r="K9" s="345">
        <v>3.075E-3</v>
      </c>
      <c r="L9" s="345">
        <v>1.0950000000000001E-3</v>
      </c>
      <c r="M9" s="345">
        <v>-6.2600000000000004E-4</v>
      </c>
      <c r="N9" s="345">
        <v>-2.3540000000000002E-3</v>
      </c>
      <c r="O9" s="346">
        <v>-3.9560000000000003E-3</v>
      </c>
    </row>
    <row r="10" spans="2:15" ht="24.75" customHeight="1" x14ac:dyDescent="0.2">
      <c r="B10" s="329">
        <v>2023</v>
      </c>
      <c r="C10" s="340">
        <v>1.8147E-2</v>
      </c>
      <c r="D10" s="335">
        <v>1.3498E-2</v>
      </c>
      <c r="E10" s="335">
        <v>9.5379999999999996E-3</v>
      </c>
      <c r="F10" s="335">
        <v>6.1279999999999998E-3</v>
      </c>
      <c r="G10" s="335">
        <v>3.127E-3</v>
      </c>
      <c r="H10" s="335">
        <v>5.3700000000000004E-4</v>
      </c>
      <c r="I10" s="335">
        <v>-1.9220000000000001E-3</v>
      </c>
      <c r="J10" s="335">
        <v>-4.1099999999999999E-3</v>
      </c>
      <c r="K10" s="335">
        <v>-6.1669999999999997E-3</v>
      </c>
      <c r="L10" s="335">
        <v>-7.9520000000000007E-3</v>
      </c>
      <c r="M10" s="335">
        <v>-9.6050000000000007E-3</v>
      </c>
      <c r="N10" s="335">
        <v>-1.1266E-2</v>
      </c>
      <c r="O10" s="343">
        <v>-1.2794E-2</v>
      </c>
    </row>
    <row r="11" spans="2:15" ht="24.75" customHeight="1" x14ac:dyDescent="0.2">
      <c r="B11" s="329">
        <v>2022</v>
      </c>
      <c r="C11" s="340">
        <v>2.0278000000000001E-2</v>
      </c>
      <c r="D11" s="335">
        <v>1.4947E-2</v>
      </c>
      <c r="E11" s="335">
        <v>1.0406E-2</v>
      </c>
      <c r="F11" s="335">
        <v>6.496E-3</v>
      </c>
      <c r="G11" s="335">
        <v>3.0560000000000001E-3</v>
      </c>
      <c r="H11" s="335">
        <v>8.6000000000000003E-5</v>
      </c>
      <c r="I11" s="335">
        <v>-2.7330000000000002E-3</v>
      </c>
      <c r="J11" s="335">
        <v>-5.241E-3</v>
      </c>
      <c r="K11" s="335">
        <v>-7.5979999999999997E-3</v>
      </c>
      <c r="L11" s="335">
        <v>-9.6439999999999998E-3</v>
      </c>
      <c r="M11" s="335">
        <v>-1.1538E-2</v>
      </c>
      <c r="N11" s="335">
        <v>-1.3441E-2</v>
      </c>
      <c r="O11" s="343">
        <v>-1.5192000000000001E-2</v>
      </c>
    </row>
    <row r="12" spans="2:15" ht="24.75" customHeight="1" x14ac:dyDescent="0.2">
      <c r="B12" s="329">
        <v>2021</v>
      </c>
      <c r="C12" s="340">
        <v>5.4168000000000001E-2</v>
      </c>
      <c r="D12" s="335">
        <v>4.6790999999999999E-2</v>
      </c>
      <c r="E12" s="335">
        <v>4.0316999999999999E-2</v>
      </c>
      <c r="F12" s="335">
        <v>3.4744999999999998E-2</v>
      </c>
      <c r="G12" s="335">
        <v>2.9892999999999999E-2</v>
      </c>
      <c r="H12" s="335">
        <v>2.5579000000000001E-2</v>
      </c>
      <c r="I12" s="335">
        <v>2.162E-2</v>
      </c>
      <c r="J12" s="335">
        <v>1.8016000000000001E-2</v>
      </c>
      <c r="K12" s="335">
        <v>1.4767000000000001E-2</v>
      </c>
      <c r="L12" s="335">
        <v>1.1691E-2</v>
      </c>
      <c r="M12" s="335">
        <v>8.9709999999999998E-3</v>
      </c>
      <c r="N12" s="335">
        <v>6.241E-3</v>
      </c>
      <c r="O12" s="343">
        <v>3.8679999999999999E-3</v>
      </c>
    </row>
    <row r="13" spans="2:15" ht="24.75" customHeight="1" x14ac:dyDescent="0.2">
      <c r="B13" s="329">
        <v>2020</v>
      </c>
      <c r="C13" s="340">
        <v>2.447E-3</v>
      </c>
      <c r="D13" s="335">
        <v>-2.699E-3</v>
      </c>
      <c r="E13" s="335">
        <v>-7.1279999999999998E-3</v>
      </c>
      <c r="F13" s="335">
        <v>-1.0839E-2</v>
      </c>
      <c r="G13" s="335">
        <v>-1.4196E-2</v>
      </c>
      <c r="H13" s="335">
        <v>-1.7201000000000001E-2</v>
      </c>
      <c r="I13" s="335">
        <v>-1.9852000000000002E-2</v>
      </c>
      <c r="J13" s="335">
        <v>-2.2148999999999999E-2</v>
      </c>
      <c r="K13" s="335">
        <v>-2.4457E-2</v>
      </c>
      <c r="L13" s="335">
        <v>-2.6409999999999999E-2</v>
      </c>
      <c r="M13" s="335">
        <v>-2.8372999999999999E-2</v>
      </c>
      <c r="N13" s="335">
        <v>-2.9982000000000002E-2</v>
      </c>
      <c r="O13" s="343">
        <v>-3.1600000000000003E-2</v>
      </c>
    </row>
    <row r="14" spans="2:15" ht="24.75" customHeight="1" x14ac:dyDescent="0.2">
      <c r="B14" s="329">
        <v>2019</v>
      </c>
      <c r="C14" s="340">
        <v>1.1422E-2</v>
      </c>
      <c r="D14" s="335">
        <v>5.7159999999999997E-3</v>
      </c>
      <c r="E14" s="335">
        <v>9.41E-4</v>
      </c>
      <c r="F14" s="335">
        <v>-3.2810000000000001E-3</v>
      </c>
      <c r="G14" s="335">
        <v>-6.9490000000000003E-3</v>
      </c>
      <c r="H14" s="335">
        <v>-1.0251E-2</v>
      </c>
      <c r="I14" s="335">
        <v>-1.3188E-2</v>
      </c>
      <c r="J14" s="335">
        <v>-1.5946999999999999E-2</v>
      </c>
      <c r="K14" s="335">
        <v>-1.8339999999999999E-2</v>
      </c>
      <c r="L14" s="335">
        <v>-2.0555E-2</v>
      </c>
      <c r="M14" s="335">
        <v>-2.2592000000000001E-2</v>
      </c>
      <c r="N14" s="335">
        <v>-2.4639000000000001E-2</v>
      </c>
      <c r="O14" s="343">
        <v>-2.6318000000000001E-2</v>
      </c>
    </row>
    <row r="15" spans="2:15" ht="24.75" customHeight="1" x14ac:dyDescent="0.2">
      <c r="B15" s="329">
        <v>2018</v>
      </c>
      <c r="C15" s="340">
        <v>2.1194000000000001E-2</v>
      </c>
      <c r="D15" s="335">
        <v>1.4336E-2</v>
      </c>
      <c r="E15" s="335">
        <v>8.3409999999999995E-3</v>
      </c>
      <c r="F15" s="335">
        <v>3.2079999999999999E-3</v>
      </c>
      <c r="G15" s="335">
        <v>-1.281E-3</v>
      </c>
      <c r="H15" s="335">
        <v>-5.3460000000000001E-3</v>
      </c>
      <c r="I15" s="335">
        <v>-8.9849999999999999E-3</v>
      </c>
      <c r="J15" s="335">
        <v>-1.2198000000000001E-2</v>
      </c>
      <c r="K15" s="335">
        <v>-1.5205E-2</v>
      </c>
      <c r="L15" s="335">
        <v>-1.8005E-2</v>
      </c>
      <c r="M15" s="335">
        <v>-2.0379000000000001E-2</v>
      </c>
      <c r="N15" s="335">
        <v>-2.2764E-2</v>
      </c>
      <c r="O15" s="343">
        <v>-2.5159999999999998E-2</v>
      </c>
    </row>
    <row r="16" spans="2:15" ht="24.75" customHeight="1" x14ac:dyDescent="0.2">
      <c r="B16" s="329">
        <v>2017</v>
      </c>
      <c r="C16" s="340">
        <v>4.248E-3</v>
      </c>
      <c r="D16" s="335">
        <v>-2.4320000000000001E-3</v>
      </c>
      <c r="E16" s="335">
        <v>-8.4180000000000001E-3</v>
      </c>
      <c r="F16" s="335">
        <v>-1.3469999999999999E-2</v>
      </c>
      <c r="G16" s="335">
        <v>-1.7826999999999999E-2</v>
      </c>
      <c r="H16" s="335">
        <v>-2.1724E-2</v>
      </c>
      <c r="I16" s="335">
        <v>-2.5163000000000001E-2</v>
      </c>
      <c r="J16" s="335">
        <v>-2.8378E-2</v>
      </c>
      <c r="K16" s="335">
        <v>-3.1133999999999998E-2</v>
      </c>
      <c r="L16" s="335">
        <v>-3.3903000000000003E-2</v>
      </c>
      <c r="M16" s="335">
        <v>-3.6448000000000001E-2</v>
      </c>
      <c r="N16" s="335">
        <v>-3.8531999999999997E-2</v>
      </c>
      <c r="O16" s="343">
        <v>-4.0628999999999998E-2</v>
      </c>
    </row>
    <row r="17" spans="2:15" ht="24.75" customHeight="1" thickBot="1" x14ac:dyDescent="0.25">
      <c r="B17" s="333">
        <v>2016</v>
      </c>
      <c r="C17" s="341">
        <v>-5.1640000000000002E-3</v>
      </c>
      <c r="D17" s="336">
        <v>-1.1540999999999999E-2</v>
      </c>
      <c r="E17" s="336">
        <v>-1.7205000000000002E-2</v>
      </c>
      <c r="F17" s="336">
        <v>-2.1911E-2</v>
      </c>
      <c r="G17" s="336">
        <v>-2.6145999999999999E-2</v>
      </c>
      <c r="H17" s="336">
        <v>-2.9909999999999999E-2</v>
      </c>
      <c r="I17" s="336">
        <v>-3.3202000000000002E-2</v>
      </c>
      <c r="J17" s="336">
        <v>-3.6021999999999998E-2</v>
      </c>
      <c r="K17" s="336">
        <v>-3.8857000000000003E-2</v>
      </c>
      <c r="L17" s="336">
        <v>-4.1461999999999999E-2</v>
      </c>
      <c r="M17" s="336">
        <v>-4.3593E-2</v>
      </c>
      <c r="N17" s="336">
        <v>-4.5738000000000001E-2</v>
      </c>
      <c r="O17" s="344">
        <v>-4.7896000000000001E-2</v>
      </c>
    </row>
    <row r="20" spans="2:15" x14ac:dyDescent="0.2">
      <c r="B20" s="320" t="s">
        <v>237</v>
      </c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</row>
    <row r="21" spans="2:15" x14ac:dyDescent="0.2">
      <c r="B21" s="320" t="s">
        <v>251</v>
      </c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</row>
    <row r="24" spans="2:15" x14ac:dyDescent="0.2">
      <c r="B24" s="328" t="s">
        <v>80</v>
      </c>
      <c r="C24" s="316"/>
      <c r="D24" s="316"/>
      <c r="E24" s="334"/>
      <c r="F24" s="334"/>
      <c r="G24" s="334"/>
      <c r="H24" s="334"/>
      <c r="I24" s="334"/>
      <c r="J24" s="334"/>
      <c r="K24" s="316"/>
      <c r="L24" s="316"/>
      <c r="M24" s="316"/>
      <c r="N24" s="316"/>
      <c r="O24" s="316"/>
    </row>
    <row r="25" spans="2:15" x14ac:dyDescent="0.2">
      <c r="B25" s="317" t="s">
        <v>18</v>
      </c>
      <c r="C25" s="316"/>
      <c r="D25" s="330">
        <v>2025</v>
      </c>
      <c r="E25" s="418" t="s">
        <v>318</v>
      </c>
      <c r="F25" s="318"/>
      <c r="G25" s="318"/>
      <c r="H25" s="318"/>
      <c r="I25" s="318"/>
      <c r="J25" s="318"/>
      <c r="K25" s="316"/>
      <c r="L25" s="316"/>
      <c r="M25" s="316"/>
      <c r="N25" s="316"/>
      <c r="O25" s="316"/>
    </row>
    <row r="26" spans="2:15" x14ac:dyDescent="0.2">
      <c r="B26" s="317" t="s">
        <v>46</v>
      </c>
      <c r="C26" s="316"/>
      <c r="D26" s="331">
        <v>0</v>
      </c>
      <c r="E26" s="318"/>
      <c r="F26" s="318"/>
      <c r="G26" s="318"/>
      <c r="H26" s="318"/>
      <c r="I26" s="318"/>
      <c r="J26" s="318"/>
      <c r="K26" s="316"/>
      <c r="L26" s="316"/>
      <c r="M26" s="316"/>
      <c r="N26" s="316"/>
      <c r="O26" s="316"/>
    </row>
    <row r="27" spans="2:15" x14ac:dyDescent="0.2">
      <c r="B27" s="317" t="s">
        <v>81</v>
      </c>
      <c r="C27" s="316"/>
      <c r="D27" s="332">
        <f>Summary!C28</f>
        <v>2.2671E-2</v>
      </c>
      <c r="E27" s="318"/>
      <c r="F27" s="318"/>
      <c r="G27" s="318"/>
      <c r="H27" s="318"/>
      <c r="I27" s="318"/>
      <c r="J27" s="318"/>
      <c r="K27" s="316"/>
      <c r="L27" s="316"/>
      <c r="M27" s="316"/>
      <c r="N27" s="316"/>
      <c r="O27" s="316"/>
    </row>
  </sheetData>
  <mergeCells count="1">
    <mergeCell ref="B1:O1"/>
  </mergeCells>
  <phoneticPr fontId="4" type="noConversion"/>
  <printOptions horizontalCentered="1"/>
  <pageMargins left="0.25" right="0.5" top="1" bottom="1" header="0.75" footer="0.5"/>
  <pageSetup scale="10" orientation="landscape" horizontalDpi="1200" verticalDpi="1200" r:id="rId1"/>
  <headerFooter alignWithMargins="0">
    <oddHeader>&amp;R&amp;"Verdana,Regular"Exhibit 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499984740745262"/>
    <pageSetUpPr fitToPage="1"/>
  </sheetPr>
  <dimension ref="A2:AU34"/>
  <sheetViews>
    <sheetView zoomScale="80" zoomScaleNormal="80" workbookViewId="0">
      <selection activeCell="AV12" sqref="AV12"/>
    </sheetView>
  </sheetViews>
  <sheetFormatPr defaultColWidth="9.140625" defaultRowHeight="12.75" x14ac:dyDescent="0.2"/>
  <cols>
    <col min="1" max="1" width="10.28515625" style="221" bestFit="1" customWidth="1"/>
    <col min="2" max="2" width="2" style="223" customWidth="1"/>
    <col min="3" max="16" width="5.7109375" style="223" hidden="1" customWidth="1"/>
    <col min="17" max="21" width="7.140625" style="223" bestFit="1" customWidth="1"/>
    <col min="22" max="22" width="7.140625" style="223" customWidth="1"/>
    <col min="23" max="25" width="7.140625" style="223" hidden="1" customWidth="1"/>
    <col min="26" max="35" width="7.140625" style="223" bestFit="1" customWidth="1"/>
    <col min="36" max="47" width="7.140625" style="221" bestFit="1" customWidth="1"/>
    <col min="48" max="16384" width="9.140625" style="221"/>
  </cols>
  <sheetData>
    <row r="2" spans="1:47" ht="15.75" x14ac:dyDescent="0.25">
      <c r="A2" s="444" t="s">
        <v>305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</row>
    <row r="3" spans="1:47" x14ac:dyDescent="0.2">
      <c r="A3" s="445" t="s">
        <v>307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445"/>
      <c r="AC3" s="445"/>
      <c r="AD3" s="445"/>
      <c r="AE3" s="445"/>
      <c r="AF3" s="445"/>
      <c r="AG3" s="445"/>
      <c r="AH3" s="445"/>
      <c r="AI3" s="445"/>
      <c r="AJ3" s="445"/>
      <c r="AK3" s="445"/>
      <c r="AL3" s="445"/>
      <c r="AM3" s="445"/>
      <c r="AN3" s="445"/>
    </row>
    <row r="4" spans="1:47" x14ac:dyDescent="0.2">
      <c r="A4" s="223"/>
      <c r="AJ4" s="223"/>
      <c r="AK4" s="223"/>
      <c r="AL4" s="223"/>
      <c r="AM4" s="223"/>
      <c r="AN4" s="223"/>
      <c r="AO4" s="223"/>
      <c r="AP4" s="223"/>
    </row>
    <row r="6" spans="1:47" ht="25.5" x14ac:dyDescent="0.2">
      <c r="A6" s="388" t="s">
        <v>303</v>
      </c>
      <c r="B6" s="381"/>
      <c r="C6" s="380" t="s">
        <v>266</v>
      </c>
      <c r="D6" s="381" t="s">
        <v>267</v>
      </c>
      <c r="E6" s="380" t="s">
        <v>268</v>
      </c>
      <c r="F6" s="381" t="s">
        <v>269</v>
      </c>
      <c r="G6" s="380" t="s">
        <v>270</v>
      </c>
      <c r="H6" s="381" t="s">
        <v>271</v>
      </c>
      <c r="I6" s="380" t="s">
        <v>272</v>
      </c>
      <c r="J6" s="381" t="s">
        <v>273</v>
      </c>
      <c r="K6" s="380" t="s">
        <v>274</v>
      </c>
      <c r="L6" s="381" t="s">
        <v>275</v>
      </c>
      <c r="M6" s="380" t="s">
        <v>276</v>
      </c>
      <c r="N6" s="381" t="s">
        <v>277</v>
      </c>
      <c r="O6" s="380" t="s">
        <v>278</v>
      </c>
      <c r="P6" s="381" t="s">
        <v>279</v>
      </c>
      <c r="Q6" s="380" t="s">
        <v>280</v>
      </c>
      <c r="R6" s="381" t="s">
        <v>281</v>
      </c>
      <c r="S6" s="380" t="s">
        <v>282</v>
      </c>
      <c r="T6" s="381" t="s">
        <v>283</v>
      </c>
      <c r="U6" s="380" t="s">
        <v>284</v>
      </c>
      <c r="V6" s="380" t="s">
        <v>304</v>
      </c>
      <c r="W6" s="380" t="s">
        <v>285</v>
      </c>
      <c r="X6" s="380" t="s">
        <v>286</v>
      </c>
      <c r="Y6" s="380" t="s">
        <v>287</v>
      </c>
      <c r="Z6" s="380" t="s">
        <v>288</v>
      </c>
      <c r="AA6" s="380" t="s">
        <v>289</v>
      </c>
      <c r="AB6" s="380" t="s">
        <v>290</v>
      </c>
      <c r="AC6" s="380" t="s">
        <v>291</v>
      </c>
      <c r="AD6" s="380" t="s">
        <v>292</v>
      </c>
      <c r="AE6" s="380" t="s">
        <v>293</v>
      </c>
      <c r="AF6" s="380" t="s">
        <v>294</v>
      </c>
      <c r="AG6" s="380" t="s">
        <v>295</v>
      </c>
      <c r="AH6" s="380" t="s">
        <v>296</v>
      </c>
      <c r="AI6" s="380" t="s">
        <v>297</v>
      </c>
      <c r="AJ6" s="380" t="s">
        <v>298</v>
      </c>
      <c r="AK6" s="380" t="s">
        <v>299</v>
      </c>
      <c r="AL6" s="380" t="s">
        <v>300</v>
      </c>
      <c r="AM6" s="380" t="s">
        <v>301</v>
      </c>
      <c r="AN6" s="380" t="s">
        <v>302</v>
      </c>
      <c r="AO6" s="380" t="s">
        <v>306</v>
      </c>
      <c r="AP6" s="380" t="s">
        <v>309</v>
      </c>
      <c r="AQ6" s="380" t="s">
        <v>310</v>
      </c>
      <c r="AR6" s="380" t="s">
        <v>311</v>
      </c>
      <c r="AS6" s="380" t="s">
        <v>313</v>
      </c>
      <c r="AT6" s="380" t="s">
        <v>314</v>
      </c>
      <c r="AU6" s="380" t="s">
        <v>315</v>
      </c>
    </row>
    <row r="7" spans="1:47" ht="5.25" customHeight="1" x14ac:dyDescent="0.2">
      <c r="A7" s="389"/>
    </row>
    <row r="8" spans="1:47" x14ac:dyDescent="0.2">
      <c r="A8" s="390">
        <v>1991</v>
      </c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2"/>
      <c r="Q8" s="383">
        <v>0.66300000000000003</v>
      </c>
      <c r="R8" s="383">
        <v>0.66800000000000004</v>
      </c>
      <c r="S8" s="383">
        <v>0.66500000000000004</v>
      </c>
      <c r="T8" s="383">
        <v>0.66400000000000003</v>
      </c>
      <c r="U8" s="383">
        <v>0.66400000000000003</v>
      </c>
      <c r="V8" s="383">
        <v>0.65900000000000003</v>
      </c>
      <c r="W8" s="383">
        <v>0.65900000000000003</v>
      </c>
      <c r="X8" s="383">
        <v>0.65900000000000003</v>
      </c>
      <c r="Y8" s="383">
        <v>0.65800000000000003</v>
      </c>
      <c r="Z8" s="383">
        <v>0.65800000000000003</v>
      </c>
      <c r="AA8" s="383">
        <v>0.65900000000000003</v>
      </c>
      <c r="AB8" s="383">
        <v>0.65800000000000003</v>
      </c>
      <c r="AC8" s="383">
        <v>0.65800000000000003</v>
      </c>
      <c r="AD8" s="383">
        <v>0.65800000000000003</v>
      </c>
      <c r="AE8" s="383">
        <v>0.65800000000000003</v>
      </c>
      <c r="AF8" s="383">
        <v>0.65900000000000003</v>
      </c>
      <c r="AG8" s="383">
        <v>0.65900000000000003</v>
      </c>
      <c r="AH8" s="383">
        <v>0.65900000000000003</v>
      </c>
      <c r="AI8" s="383">
        <v>0.65800000000000003</v>
      </c>
      <c r="AJ8" s="384">
        <v>0.65800000000000003</v>
      </c>
      <c r="AK8" s="384">
        <v>0.65600000000000003</v>
      </c>
      <c r="AL8" s="384">
        <v>0.65500000000000003</v>
      </c>
      <c r="AM8" s="384">
        <v>0.65500000000000003</v>
      </c>
      <c r="AN8" s="384">
        <v>0.65500000000000003</v>
      </c>
      <c r="AO8" s="384">
        <v>0.65300000000000002</v>
      </c>
      <c r="AP8" s="384">
        <v>0.65300000000000002</v>
      </c>
      <c r="AQ8" s="384">
        <v>0.65300000000000002</v>
      </c>
      <c r="AR8" s="384">
        <v>0.65300000000000002</v>
      </c>
      <c r="AS8" s="384">
        <v>0.65300000000000002</v>
      </c>
      <c r="AT8" s="384">
        <v>0.65300000000000002</v>
      </c>
      <c r="AU8" s="384">
        <v>0.65100000000000002</v>
      </c>
    </row>
    <row r="9" spans="1:47" x14ac:dyDescent="0.2">
      <c r="A9" s="391">
        <v>1992</v>
      </c>
      <c r="B9" s="385"/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6">
        <v>0.47399999999999998</v>
      </c>
      <c r="R9" s="386">
        <v>0.47199999999999998</v>
      </c>
      <c r="S9" s="386">
        <v>0.47299999999999998</v>
      </c>
      <c r="T9" s="386">
        <v>0.47199999999999998</v>
      </c>
      <c r="U9" s="386">
        <v>0.47499999999999998</v>
      </c>
      <c r="V9" s="386">
        <v>0.47</v>
      </c>
      <c r="W9" s="386">
        <v>0.47099999999999997</v>
      </c>
      <c r="X9" s="386">
        <v>0.47199999999999998</v>
      </c>
      <c r="Y9" s="386">
        <v>0.47099999999999997</v>
      </c>
      <c r="Z9" s="386">
        <v>0.46800000000000003</v>
      </c>
      <c r="AA9" s="386">
        <v>0.46899999999999997</v>
      </c>
      <c r="AB9" s="386">
        <v>0.46899999999999997</v>
      </c>
      <c r="AC9" s="386">
        <v>0.46899999999999997</v>
      </c>
      <c r="AD9" s="386">
        <v>0.46899999999999997</v>
      </c>
      <c r="AE9" s="386">
        <v>0.46899999999999997</v>
      </c>
      <c r="AF9" s="386">
        <v>0.47</v>
      </c>
      <c r="AG9" s="386">
        <v>0.46899999999999997</v>
      </c>
      <c r="AH9" s="386">
        <v>0.46899999999999997</v>
      </c>
      <c r="AI9" s="386">
        <v>0.46899999999999997</v>
      </c>
      <c r="AJ9" s="387">
        <v>0.46899999999999997</v>
      </c>
      <c r="AK9" s="387">
        <v>0.46700000000000003</v>
      </c>
      <c r="AL9" s="387">
        <v>0.46700000000000003</v>
      </c>
      <c r="AM9" s="387">
        <v>0.46800000000000003</v>
      </c>
      <c r="AN9" s="387">
        <v>0.46800000000000003</v>
      </c>
      <c r="AO9" s="387">
        <v>0.46600000000000003</v>
      </c>
      <c r="AP9" s="387">
        <v>0.46600000000000003</v>
      </c>
      <c r="AQ9" s="387">
        <v>0.46600000000000003</v>
      </c>
      <c r="AR9" s="387">
        <v>0.46500000000000002</v>
      </c>
      <c r="AS9" s="387">
        <v>0.46500000000000002</v>
      </c>
      <c r="AT9" s="387">
        <v>0.46400000000000002</v>
      </c>
      <c r="AU9" s="387">
        <v>0.46500000000000002</v>
      </c>
    </row>
    <row r="10" spans="1:47" x14ac:dyDescent="0.2">
      <c r="A10" s="391">
        <v>1993</v>
      </c>
      <c r="B10" s="385"/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6">
        <v>0.42699999999999999</v>
      </c>
      <c r="R10" s="386">
        <v>0.42799999999999999</v>
      </c>
      <c r="S10" s="386">
        <v>0.42599999999999999</v>
      </c>
      <c r="T10" s="386">
        <v>0.42299999999999999</v>
      </c>
      <c r="U10" s="386">
        <v>0.42499999999999999</v>
      </c>
      <c r="V10" s="386">
        <v>0.42199999999999999</v>
      </c>
      <c r="W10" s="386">
        <v>0.42199999999999999</v>
      </c>
      <c r="X10" s="386">
        <v>0.42299999999999999</v>
      </c>
      <c r="Y10" s="386">
        <v>0.42199999999999999</v>
      </c>
      <c r="Z10" s="386">
        <v>0.42199999999999999</v>
      </c>
      <c r="AA10" s="386">
        <v>0.42299999999999999</v>
      </c>
      <c r="AB10" s="386">
        <v>0.42299999999999999</v>
      </c>
      <c r="AC10" s="386">
        <v>0.42299999999999999</v>
      </c>
      <c r="AD10" s="386">
        <v>0.42299999999999999</v>
      </c>
      <c r="AE10" s="386">
        <v>0.42199999999999999</v>
      </c>
      <c r="AF10" s="386">
        <v>0.42199999999999999</v>
      </c>
      <c r="AG10" s="386">
        <v>0.42199999999999999</v>
      </c>
      <c r="AH10" s="386">
        <v>0.42199999999999999</v>
      </c>
      <c r="AI10" s="386">
        <v>0.42199999999999999</v>
      </c>
      <c r="AJ10" s="387">
        <v>0.42199999999999999</v>
      </c>
      <c r="AK10" s="387">
        <v>0.41799999999999998</v>
      </c>
      <c r="AL10" s="387">
        <v>0.41899999999999998</v>
      </c>
      <c r="AM10" s="387">
        <v>0.41799999999999998</v>
      </c>
      <c r="AN10" s="387">
        <v>0.41899999999999998</v>
      </c>
      <c r="AO10" s="387">
        <v>0.41799999999999998</v>
      </c>
      <c r="AP10" s="387">
        <v>0.41799999999999998</v>
      </c>
      <c r="AQ10" s="387">
        <v>0.41699999999999998</v>
      </c>
      <c r="AR10" s="387">
        <v>0.41699999999999998</v>
      </c>
      <c r="AS10" s="387">
        <v>0.41699999999999998</v>
      </c>
      <c r="AT10" s="387">
        <v>0.41599999999999998</v>
      </c>
      <c r="AU10" s="387">
        <v>0.41599999999999998</v>
      </c>
    </row>
    <row r="11" spans="1:47" x14ac:dyDescent="0.2">
      <c r="A11" s="391">
        <v>1994</v>
      </c>
      <c r="B11" s="385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6">
        <v>0.45700000000000002</v>
      </c>
      <c r="R11" s="386">
        <v>0.45900000000000002</v>
      </c>
      <c r="S11" s="386">
        <v>0.45400000000000001</v>
      </c>
      <c r="T11" s="386">
        <v>0.45300000000000001</v>
      </c>
      <c r="U11" s="386">
        <v>0.45</v>
      </c>
      <c r="V11" s="386">
        <v>0.44900000000000001</v>
      </c>
      <c r="W11" s="386">
        <v>0.44900000000000001</v>
      </c>
      <c r="X11" s="386">
        <v>0.44900000000000001</v>
      </c>
      <c r="Y11" s="386">
        <v>0.44900000000000001</v>
      </c>
      <c r="Z11" s="386">
        <v>0.44900000000000001</v>
      </c>
      <c r="AA11" s="386">
        <v>0.44900000000000001</v>
      </c>
      <c r="AB11" s="386">
        <v>0.44800000000000001</v>
      </c>
      <c r="AC11" s="386">
        <v>0.44800000000000001</v>
      </c>
      <c r="AD11" s="386">
        <v>0.44800000000000001</v>
      </c>
      <c r="AE11" s="386">
        <v>0.44700000000000001</v>
      </c>
      <c r="AF11" s="386">
        <v>0.44600000000000001</v>
      </c>
      <c r="AG11" s="386">
        <v>0.44700000000000001</v>
      </c>
      <c r="AH11" s="386">
        <v>0.44800000000000001</v>
      </c>
      <c r="AI11" s="386">
        <v>0.44800000000000001</v>
      </c>
      <c r="AJ11" s="387">
        <v>0.44800000000000001</v>
      </c>
      <c r="AK11" s="387">
        <v>0.44500000000000001</v>
      </c>
      <c r="AL11" s="387">
        <v>0.44500000000000001</v>
      </c>
      <c r="AM11" s="387">
        <v>0.44600000000000001</v>
      </c>
      <c r="AN11" s="387">
        <v>0.44400000000000001</v>
      </c>
      <c r="AO11" s="387">
        <v>0.443</v>
      </c>
      <c r="AP11" s="387">
        <v>0.443</v>
      </c>
      <c r="AQ11" s="387">
        <v>0.443</v>
      </c>
      <c r="AR11" s="387">
        <v>0.442</v>
      </c>
      <c r="AS11" s="387">
        <v>0.442</v>
      </c>
      <c r="AT11" s="387">
        <v>0.441</v>
      </c>
      <c r="AU11" s="387">
        <v>0.441</v>
      </c>
    </row>
    <row r="12" spans="1:47" x14ac:dyDescent="0.2">
      <c r="A12" s="391">
        <v>1995</v>
      </c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6">
        <v>0.52800000000000002</v>
      </c>
      <c r="R12" s="386">
        <v>0.53</v>
      </c>
      <c r="S12" s="386">
        <v>0.52900000000000003</v>
      </c>
      <c r="T12" s="386">
        <v>0.52300000000000002</v>
      </c>
      <c r="U12" s="386">
        <v>0.51600000000000001</v>
      </c>
      <c r="V12" s="386">
        <v>0.51300000000000001</v>
      </c>
      <c r="W12" s="386">
        <v>0.51300000000000001</v>
      </c>
      <c r="X12" s="386">
        <v>0.51300000000000001</v>
      </c>
      <c r="Y12" s="386">
        <v>0.51200000000000001</v>
      </c>
      <c r="Z12" s="386">
        <v>0.51200000000000001</v>
      </c>
      <c r="AA12" s="386">
        <v>0.51200000000000001</v>
      </c>
      <c r="AB12" s="386">
        <v>0.51200000000000001</v>
      </c>
      <c r="AC12" s="386">
        <v>0.51200000000000001</v>
      </c>
      <c r="AD12" s="386">
        <v>0.51200000000000001</v>
      </c>
      <c r="AE12" s="386">
        <v>0.51200000000000001</v>
      </c>
      <c r="AF12" s="386">
        <v>0.51200000000000001</v>
      </c>
      <c r="AG12" s="386">
        <v>0.51200000000000001</v>
      </c>
      <c r="AH12" s="386">
        <v>0.51200000000000001</v>
      </c>
      <c r="AI12" s="386">
        <v>0.51200000000000001</v>
      </c>
      <c r="AJ12" s="387">
        <v>0.51200000000000001</v>
      </c>
      <c r="AK12" s="387">
        <v>0.50900000000000001</v>
      </c>
      <c r="AL12" s="387">
        <v>0.51</v>
      </c>
      <c r="AM12" s="387">
        <v>0.51</v>
      </c>
      <c r="AN12" s="387">
        <v>0.51</v>
      </c>
      <c r="AO12" s="387">
        <v>0.50900000000000001</v>
      </c>
      <c r="AP12" s="387">
        <v>0.50900000000000001</v>
      </c>
      <c r="AQ12" s="387">
        <v>0.50900000000000001</v>
      </c>
      <c r="AR12" s="387">
        <v>0.50900000000000001</v>
      </c>
      <c r="AS12" s="387">
        <v>0.51100000000000001</v>
      </c>
      <c r="AT12" s="387">
        <v>0.50900000000000001</v>
      </c>
      <c r="AU12" s="387">
        <v>0.51</v>
      </c>
    </row>
    <row r="13" spans="1:47" x14ac:dyDescent="0.2">
      <c r="A13" s="391">
        <v>1996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6">
        <v>0.47599999999999998</v>
      </c>
      <c r="R13" s="386">
        <v>0.48599999999999999</v>
      </c>
      <c r="S13" s="386">
        <v>0.48599999999999999</v>
      </c>
      <c r="T13" s="386">
        <v>0.48699999999999999</v>
      </c>
      <c r="U13" s="386">
        <v>0.48499999999999999</v>
      </c>
      <c r="V13" s="386">
        <v>0.47799999999999998</v>
      </c>
      <c r="W13" s="386">
        <v>0.47799999999999998</v>
      </c>
      <c r="X13" s="386">
        <v>0.47899999999999998</v>
      </c>
      <c r="Y13" s="386">
        <v>0.48</v>
      </c>
      <c r="Z13" s="386">
        <v>0.47899999999999998</v>
      </c>
      <c r="AA13" s="386">
        <v>0.48099999999999998</v>
      </c>
      <c r="AB13" s="386">
        <v>0.48099999999999998</v>
      </c>
      <c r="AC13" s="386">
        <v>0.48299999999999998</v>
      </c>
      <c r="AD13" s="386">
        <v>0.48299999999999998</v>
      </c>
      <c r="AE13" s="386">
        <v>0.48399999999999999</v>
      </c>
      <c r="AF13" s="386">
        <v>0.48399999999999999</v>
      </c>
      <c r="AG13" s="386">
        <v>0.48099999999999998</v>
      </c>
      <c r="AH13" s="386">
        <v>0.47699999999999998</v>
      </c>
      <c r="AI13" s="386">
        <v>0.47599999999999998</v>
      </c>
      <c r="AJ13" s="387">
        <v>0.47599999999999998</v>
      </c>
      <c r="AK13" s="387">
        <v>0.47499999999999998</v>
      </c>
      <c r="AL13" s="387">
        <v>0.47399999999999998</v>
      </c>
      <c r="AM13" s="387">
        <v>0.47499999999999998</v>
      </c>
      <c r="AN13" s="387">
        <v>0.47399999999999998</v>
      </c>
      <c r="AO13" s="387">
        <v>0.47299999999999998</v>
      </c>
      <c r="AP13" s="387">
        <v>0.47299999999999998</v>
      </c>
      <c r="AQ13" s="387">
        <v>0.47299999999999998</v>
      </c>
      <c r="AR13" s="387">
        <v>0.47299999999999998</v>
      </c>
      <c r="AS13" s="387">
        <v>0.47299999999999998</v>
      </c>
      <c r="AT13" s="387">
        <v>0.47199999999999998</v>
      </c>
      <c r="AU13" s="387">
        <v>0.47199999999999998</v>
      </c>
    </row>
    <row r="14" spans="1:47" x14ac:dyDescent="0.2">
      <c r="A14" s="391">
        <v>1997</v>
      </c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6">
        <v>0.46</v>
      </c>
      <c r="R14" s="386">
        <v>0.44800000000000001</v>
      </c>
      <c r="S14" s="386">
        <v>0.45100000000000001</v>
      </c>
      <c r="T14" s="386">
        <v>0.436</v>
      </c>
      <c r="U14" s="386">
        <v>0.42899999999999999</v>
      </c>
      <c r="V14" s="386">
        <v>0.44800000000000001</v>
      </c>
      <c r="W14" s="386">
        <v>0.44800000000000001</v>
      </c>
      <c r="X14" s="386">
        <v>0.44800000000000001</v>
      </c>
      <c r="Y14" s="386">
        <v>0.44800000000000001</v>
      </c>
      <c r="Z14" s="386">
        <v>0.46800000000000003</v>
      </c>
      <c r="AA14" s="386">
        <v>0.46800000000000003</v>
      </c>
      <c r="AB14" s="386">
        <v>0.46899999999999997</v>
      </c>
      <c r="AC14" s="386">
        <v>0.46899999999999997</v>
      </c>
      <c r="AD14" s="386">
        <v>0.46899999999999997</v>
      </c>
      <c r="AE14" s="386">
        <v>0.46600000000000003</v>
      </c>
      <c r="AF14" s="386">
        <v>0.46600000000000003</v>
      </c>
      <c r="AG14" s="386">
        <v>0.46600000000000003</v>
      </c>
      <c r="AH14" s="386">
        <v>0.46800000000000003</v>
      </c>
      <c r="AI14" s="386">
        <v>0.46800000000000003</v>
      </c>
      <c r="AJ14" s="387">
        <v>0.46800000000000003</v>
      </c>
      <c r="AK14" s="387">
        <v>0.46500000000000002</v>
      </c>
      <c r="AL14" s="387">
        <v>0.46600000000000003</v>
      </c>
      <c r="AM14" s="387">
        <v>0.46600000000000003</v>
      </c>
      <c r="AN14" s="387">
        <v>0.46500000000000002</v>
      </c>
      <c r="AO14" s="387">
        <v>0.46400000000000002</v>
      </c>
      <c r="AP14" s="387">
        <v>0.46400000000000002</v>
      </c>
      <c r="AQ14" s="387">
        <v>0.46400000000000002</v>
      </c>
      <c r="AR14" s="387">
        <v>0.46200000000000002</v>
      </c>
      <c r="AS14" s="387">
        <v>0.46100000000000002</v>
      </c>
      <c r="AT14" s="387">
        <v>0.46100000000000002</v>
      </c>
      <c r="AU14" s="387">
        <v>0.46</v>
      </c>
    </row>
    <row r="15" spans="1:47" x14ac:dyDescent="0.2">
      <c r="A15" s="391">
        <v>1998</v>
      </c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6">
        <v>0.5</v>
      </c>
      <c r="R15" s="386">
        <v>0.5</v>
      </c>
      <c r="S15" s="386">
        <v>0.52100000000000002</v>
      </c>
      <c r="T15" s="386">
        <v>0.50900000000000001</v>
      </c>
      <c r="U15" s="386">
        <v>0.50900000000000001</v>
      </c>
      <c r="V15" s="386">
        <v>0.50800000000000001</v>
      </c>
      <c r="W15" s="386">
        <v>0.50700000000000001</v>
      </c>
      <c r="X15" s="386">
        <v>0.50800000000000001</v>
      </c>
      <c r="Y15" s="386">
        <v>0.50800000000000001</v>
      </c>
      <c r="Z15" s="386">
        <v>0.45900000000000002</v>
      </c>
      <c r="AA15" s="386">
        <v>0.45900000000000002</v>
      </c>
      <c r="AB15" s="386">
        <v>0.45900000000000002</v>
      </c>
      <c r="AC15" s="386">
        <v>0.45900000000000002</v>
      </c>
      <c r="AD15" s="386">
        <v>0.45700000000000002</v>
      </c>
      <c r="AE15" s="386">
        <v>0.45700000000000002</v>
      </c>
      <c r="AF15" s="386">
        <v>0.45700000000000002</v>
      </c>
      <c r="AG15" s="386">
        <v>0.45700000000000002</v>
      </c>
      <c r="AH15" s="386">
        <v>0.45800000000000002</v>
      </c>
      <c r="AI15" s="386">
        <v>0.45700000000000002</v>
      </c>
      <c r="AJ15" s="387">
        <v>0.45700000000000002</v>
      </c>
      <c r="AK15" s="387">
        <v>0.45400000000000001</v>
      </c>
      <c r="AL15" s="387">
        <v>0.45500000000000002</v>
      </c>
      <c r="AM15" s="387">
        <v>0.45500000000000002</v>
      </c>
      <c r="AN15" s="387">
        <v>0.45600000000000002</v>
      </c>
      <c r="AO15" s="387">
        <v>0.45500000000000002</v>
      </c>
      <c r="AP15" s="387">
        <v>0.45400000000000001</v>
      </c>
      <c r="AQ15" s="387">
        <v>0.45400000000000001</v>
      </c>
      <c r="AR15" s="387">
        <v>0.44700000000000001</v>
      </c>
      <c r="AS15" s="387">
        <v>0.44800000000000001</v>
      </c>
      <c r="AT15" s="387">
        <v>0.44700000000000001</v>
      </c>
      <c r="AU15" s="387">
        <v>0.44700000000000001</v>
      </c>
    </row>
    <row r="16" spans="1:47" x14ac:dyDescent="0.2">
      <c r="A16" s="391">
        <v>1999</v>
      </c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6">
        <v>0.52</v>
      </c>
      <c r="R16" s="386">
        <v>0.51</v>
      </c>
      <c r="S16" s="386">
        <v>0.48</v>
      </c>
      <c r="T16" s="386">
        <v>0.47399999999999998</v>
      </c>
      <c r="U16" s="386">
        <v>0.47</v>
      </c>
      <c r="V16" s="386">
        <v>0.46800000000000003</v>
      </c>
      <c r="W16" s="386">
        <v>0.46700000000000003</v>
      </c>
      <c r="X16" s="386">
        <v>0.46500000000000002</v>
      </c>
      <c r="Y16" s="386">
        <v>0.46500000000000002</v>
      </c>
      <c r="Z16" s="386">
        <v>0.46500000000000002</v>
      </c>
      <c r="AA16" s="386">
        <v>0.46400000000000002</v>
      </c>
      <c r="AB16" s="386">
        <v>0.46500000000000002</v>
      </c>
      <c r="AC16" s="386">
        <v>0.46600000000000003</v>
      </c>
      <c r="AD16" s="386">
        <v>0.46500000000000002</v>
      </c>
      <c r="AE16" s="386">
        <v>0.46400000000000002</v>
      </c>
      <c r="AF16" s="386">
        <v>0.46500000000000002</v>
      </c>
      <c r="AG16" s="386">
        <v>0.46500000000000002</v>
      </c>
      <c r="AH16" s="386">
        <v>0.46600000000000003</v>
      </c>
      <c r="AI16" s="386">
        <v>0.46500000000000002</v>
      </c>
      <c r="AJ16" s="387">
        <v>0.46500000000000002</v>
      </c>
      <c r="AK16" s="387">
        <v>0.46400000000000002</v>
      </c>
      <c r="AL16" s="387">
        <v>0.46300000000000002</v>
      </c>
      <c r="AM16" s="387">
        <v>0.46300000000000002</v>
      </c>
      <c r="AN16" s="387">
        <v>0.46300000000000002</v>
      </c>
      <c r="AO16" s="387">
        <v>0.46200000000000002</v>
      </c>
      <c r="AP16" s="387">
        <v>0.46100000000000002</v>
      </c>
      <c r="AQ16" s="387">
        <v>0.46100000000000002</v>
      </c>
      <c r="AR16" s="387">
        <v>0.46100000000000002</v>
      </c>
      <c r="AS16" s="387">
        <v>0.46200000000000002</v>
      </c>
      <c r="AT16" s="387">
        <v>0.46100000000000002</v>
      </c>
      <c r="AU16" s="387">
        <v>0.46100000000000002</v>
      </c>
    </row>
    <row r="17" spans="1:47" x14ac:dyDescent="0.2">
      <c r="A17" s="391">
        <v>2000</v>
      </c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6">
        <v>0.76</v>
      </c>
      <c r="R17" s="386">
        <v>0.74</v>
      </c>
      <c r="S17" s="386">
        <v>0.73</v>
      </c>
      <c r="T17" s="386">
        <v>0.72</v>
      </c>
      <c r="U17" s="386">
        <v>0.72599999999999998</v>
      </c>
      <c r="V17" s="386">
        <v>0.73399999999999999</v>
      </c>
      <c r="W17" s="386">
        <v>0.73499999999999999</v>
      </c>
      <c r="X17" s="386">
        <v>0.73199999999999998</v>
      </c>
      <c r="Y17" s="386">
        <v>0.73099999999999998</v>
      </c>
      <c r="Z17" s="386">
        <v>0.71799999999999997</v>
      </c>
      <c r="AA17" s="386">
        <v>0.71799999999999997</v>
      </c>
      <c r="AB17" s="386">
        <v>0.71599999999999997</v>
      </c>
      <c r="AC17" s="386">
        <v>0.71699999999999997</v>
      </c>
      <c r="AD17" s="386">
        <v>0.70499999999999996</v>
      </c>
      <c r="AE17" s="386">
        <v>0.70399999999999996</v>
      </c>
      <c r="AF17" s="386">
        <v>0.70499999999999996</v>
      </c>
      <c r="AG17" s="386">
        <v>0.70499999999999996</v>
      </c>
      <c r="AH17" s="386">
        <v>0.70699999999999996</v>
      </c>
      <c r="AI17" s="386">
        <v>0.70799999999999996</v>
      </c>
      <c r="AJ17" s="387">
        <v>0.70799999999999996</v>
      </c>
      <c r="AK17" s="387">
        <v>0.70499999999999996</v>
      </c>
      <c r="AL17" s="387">
        <v>0.70499999999999996</v>
      </c>
      <c r="AM17" s="387">
        <v>0.70399999999999996</v>
      </c>
      <c r="AN17" s="387">
        <v>0.70399999999999996</v>
      </c>
      <c r="AO17" s="387">
        <v>0.69899999999999995</v>
      </c>
      <c r="AP17" s="387">
        <v>0.69899999999999995</v>
      </c>
      <c r="AQ17" s="387">
        <v>0.69799999999999995</v>
      </c>
      <c r="AR17" s="387">
        <v>0.69899999999999995</v>
      </c>
      <c r="AS17" s="387">
        <v>0.70099999999999996</v>
      </c>
      <c r="AT17" s="387">
        <v>0.70099999999999996</v>
      </c>
      <c r="AU17" s="387">
        <v>0.69099999999999995</v>
      </c>
    </row>
    <row r="18" spans="1:47" x14ac:dyDescent="0.2">
      <c r="A18" s="391">
        <v>2001</v>
      </c>
      <c r="B18" s="386"/>
      <c r="C18" s="386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6">
        <v>0.74</v>
      </c>
      <c r="R18" s="386">
        <v>0.74</v>
      </c>
      <c r="S18" s="386">
        <v>0.7</v>
      </c>
      <c r="T18" s="386">
        <v>0.68</v>
      </c>
      <c r="U18" s="386">
        <v>0.67</v>
      </c>
      <c r="V18" s="386">
        <v>0.66700000000000004</v>
      </c>
      <c r="W18" s="386">
        <v>0.66300000000000003</v>
      </c>
      <c r="X18" s="386">
        <v>0.66</v>
      </c>
      <c r="Y18" s="386">
        <v>0.65900000000000003</v>
      </c>
      <c r="Z18" s="386">
        <v>0.65900000000000003</v>
      </c>
      <c r="AA18" s="386">
        <v>0.66</v>
      </c>
      <c r="AB18" s="386">
        <v>0.66400000000000003</v>
      </c>
      <c r="AC18" s="386">
        <v>0.66900000000000004</v>
      </c>
      <c r="AD18" s="386">
        <v>0.66600000000000004</v>
      </c>
      <c r="AE18" s="386">
        <v>0.67100000000000004</v>
      </c>
      <c r="AF18" s="386">
        <v>0.67100000000000004</v>
      </c>
      <c r="AG18" s="386">
        <v>0.67200000000000004</v>
      </c>
      <c r="AH18" s="386">
        <v>0.67</v>
      </c>
      <c r="AI18" s="386">
        <v>0.67</v>
      </c>
      <c r="AJ18" s="387">
        <v>0.67</v>
      </c>
      <c r="AK18" s="387">
        <v>0.66300000000000003</v>
      </c>
      <c r="AL18" s="387">
        <v>0.66900000000000004</v>
      </c>
      <c r="AM18" s="387">
        <v>0.66600000000000004</v>
      </c>
      <c r="AN18" s="387">
        <v>0.65500000000000003</v>
      </c>
      <c r="AO18" s="387">
        <v>0.65400000000000003</v>
      </c>
      <c r="AP18" s="387">
        <v>0.65300000000000002</v>
      </c>
      <c r="AQ18" s="387">
        <v>0.65300000000000002</v>
      </c>
      <c r="AR18" s="387">
        <v>0.65200000000000002</v>
      </c>
      <c r="AS18" s="387">
        <v>0.64900000000000002</v>
      </c>
      <c r="AT18" s="387">
        <v>0.65100000000000002</v>
      </c>
      <c r="AU18" s="387">
        <v>0.65100000000000002</v>
      </c>
    </row>
    <row r="19" spans="1:47" x14ac:dyDescent="0.2">
      <c r="A19" s="391">
        <v>2002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>
        <v>0.63</v>
      </c>
      <c r="R19" s="386">
        <v>0.61</v>
      </c>
      <c r="S19" s="386">
        <v>0.57999999999999996</v>
      </c>
      <c r="T19" s="386">
        <v>0.56999999999999995</v>
      </c>
      <c r="U19" s="386">
        <v>0.56000000000000005</v>
      </c>
      <c r="V19" s="386">
        <v>0.55000000000000004</v>
      </c>
      <c r="W19" s="386">
        <v>0.55100000000000005</v>
      </c>
      <c r="X19" s="386">
        <v>0.54700000000000004</v>
      </c>
      <c r="Y19" s="386">
        <v>0.54700000000000004</v>
      </c>
      <c r="Z19" s="386">
        <v>0.54600000000000004</v>
      </c>
      <c r="AA19" s="386">
        <v>0.54700000000000004</v>
      </c>
      <c r="AB19" s="386">
        <v>0.54600000000000004</v>
      </c>
      <c r="AC19" s="386">
        <v>0.54700000000000004</v>
      </c>
      <c r="AD19" s="386">
        <v>0.54700000000000004</v>
      </c>
      <c r="AE19" s="386">
        <v>0.54800000000000004</v>
      </c>
      <c r="AF19" s="386">
        <v>0.54600000000000004</v>
      </c>
      <c r="AG19" s="386">
        <v>0.54800000000000004</v>
      </c>
      <c r="AH19" s="386">
        <v>0.54800000000000004</v>
      </c>
      <c r="AI19" s="386">
        <v>0.55000000000000004</v>
      </c>
      <c r="AJ19" s="387">
        <v>0.55000000000000004</v>
      </c>
      <c r="AK19" s="387">
        <v>0.54800000000000004</v>
      </c>
      <c r="AL19" s="387">
        <v>0.54800000000000004</v>
      </c>
      <c r="AM19" s="387">
        <v>0.54600000000000004</v>
      </c>
      <c r="AN19" s="387">
        <v>0.54400000000000004</v>
      </c>
      <c r="AO19" s="387">
        <v>0.54400000000000004</v>
      </c>
      <c r="AP19" s="387">
        <v>0.54200000000000004</v>
      </c>
      <c r="AQ19" s="387">
        <v>0.54100000000000004</v>
      </c>
      <c r="AR19" s="387">
        <v>0.54100000000000004</v>
      </c>
      <c r="AS19" s="387">
        <v>0.54200000000000004</v>
      </c>
      <c r="AT19" s="387">
        <v>0.54200000000000004</v>
      </c>
      <c r="AU19" s="387">
        <v>0.54500000000000004</v>
      </c>
    </row>
    <row r="20" spans="1:47" x14ac:dyDescent="0.2">
      <c r="A20" s="391">
        <v>2003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>
        <v>0.56000000000000005</v>
      </c>
      <c r="R20" s="386">
        <v>0.53</v>
      </c>
      <c r="S20" s="386">
        <v>0.51</v>
      </c>
      <c r="T20" s="386">
        <v>0.5</v>
      </c>
      <c r="U20" s="386">
        <v>0.5</v>
      </c>
      <c r="V20" s="386">
        <v>0.51</v>
      </c>
      <c r="W20" s="386">
        <v>0.51</v>
      </c>
      <c r="X20" s="386">
        <v>0.51</v>
      </c>
      <c r="Y20" s="386">
        <v>0.51</v>
      </c>
      <c r="Z20" s="386">
        <v>0.51</v>
      </c>
      <c r="AA20" s="386">
        <v>0.51</v>
      </c>
      <c r="AB20" s="386">
        <v>0.51100000000000001</v>
      </c>
      <c r="AC20" s="386">
        <v>0.50800000000000001</v>
      </c>
      <c r="AD20" s="386">
        <v>0.50800000000000001</v>
      </c>
      <c r="AE20" s="386">
        <v>0.51</v>
      </c>
      <c r="AF20" s="386">
        <v>0.50800000000000001</v>
      </c>
      <c r="AG20" s="386">
        <v>0.50900000000000001</v>
      </c>
      <c r="AH20" s="386">
        <v>0.50800000000000001</v>
      </c>
      <c r="AI20" s="386">
        <v>0.50800000000000001</v>
      </c>
      <c r="AJ20" s="387">
        <v>0.50800000000000001</v>
      </c>
      <c r="AK20" s="387">
        <v>0.50700000000000001</v>
      </c>
      <c r="AL20" s="387">
        <v>0.50700000000000001</v>
      </c>
      <c r="AM20" s="387">
        <v>0.504</v>
      </c>
      <c r="AN20" s="387">
        <v>0.503</v>
      </c>
      <c r="AO20" s="387">
        <v>0.502</v>
      </c>
      <c r="AP20" s="387">
        <v>0.501</v>
      </c>
      <c r="AQ20" s="387">
        <v>0.501</v>
      </c>
      <c r="AR20" s="387">
        <v>0.5</v>
      </c>
      <c r="AS20" s="387">
        <v>0.5</v>
      </c>
      <c r="AT20" s="387">
        <v>0.5</v>
      </c>
      <c r="AU20" s="387">
        <v>0.5</v>
      </c>
    </row>
    <row r="21" spans="1:47" x14ac:dyDescent="0.2">
      <c r="A21" s="391">
        <v>2004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>
        <v>0.7</v>
      </c>
      <c r="R21" s="386">
        <v>0.69</v>
      </c>
      <c r="S21" s="386">
        <v>0.67</v>
      </c>
      <c r="T21" s="386">
        <v>0.67</v>
      </c>
      <c r="U21" s="386">
        <v>0.66</v>
      </c>
      <c r="V21" s="386">
        <v>0.67</v>
      </c>
      <c r="W21" s="386">
        <v>0.65</v>
      </c>
      <c r="X21" s="386">
        <v>0.65</v>
      </c>
      <c r="Y21" s="386">
        <v>0.65</v>
      </c>
      <c r="Z21" s="386">
        <v>0.65</v>
      </c>
      <c r="AA21" s="386">
        <v>0.65</v>
      </c>
      <c r="AB21" s="386">
        <v>0.65</v>
      </c>
      <c r="AC21" s="386">
        <v>0.65</v>
      </c>
      <c r="AD21" s="386">
        <v>0.65</v>
      </c>
      <c r="AE21" s="386">
        <v>0.66400000000000003</v>
      </c>
      <c r="AF21" s="386">
        <v>0.66400000000000003</v>
      </c>
      <c r="AG21" s="386">
        <v>0.66300000000000003</v>
      </c>
      <c r="AH21" s="386">
        <v>0.66400000000000003</v>
      </c>
      <c r="AI21" s="386">
        <v>0.66200000000000003</v>
      </c>
      <c r="AJ21" s="387">
        <v>0.66200000000000003</v>
      </c>
      <c r="AK21" s="387">
        <v>0.65700000000000003</v>
      </c>
      <c r="AL21" s="387">
        <v>0.65600000000000003</v>
      </c>
      <c r="AM21" s="387">
        <v>0.65500000000000003</v>
      </c>
      <c r="AN21" s="387">
        <v>0.65400000000000003</v>
      </c>
      <c r="AO21" s="387">
        <v>0.65300000000000002</v>
      </c>
      <c r="AP21" s="387">
        <v>0.65400000000000003</v>
      </c>
      <c r="AQ21" s="387">
        <v>0.65100000000000002</v>
      </c>
      <c r="AR21" s="387">
        <v>0.65200000000000002</v>
      </c>
      <c r="AS21" s="387">
        <v>0.64900000000000002</v>
      </c>
      <c r="AT21" s="387">
        <v>0.65200000000000002</v>
      </c>
      <c r="AU21" s="387">
        <v>0.65200000000000002</v>
      </c>
    </row>
    <row r="22" spans="1:47" x14ac:dyDescent="0.2">
      <c r="A22" s="391">
        <v>2005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>
        <v>0.67</v>
      </c>
      <c r="R22" s="386">
        <v>0.63</v>
      </c>
      <c r="S22" s="386">
        <v>0.56999999999999995</v>
      </c>
      <c r="T22" s="386">
        <v>0.55000000000000004</v>
      </c>
      <c r="U22" s="386">
        <v>0.55000000000000004</v>
      </c>
      <c r="V22" s="386">
        <v>0.55000000000000004</v>
      </c>
      <c r="W22" s="386">
        <v>0.55000000000000004</v>
      </c>
      <c r="X22" s="386">
        <v>0.55000000000000004</v>
      </c>
      <c r="Y22" s="386">
        <v>0.55000000000000004</v>
      </c>
      <c r="Z22" s="386">
        <v>0.55000000000000004</v>
      </c>
      <c r="AA22" s="386">
        <v>0.55000000000000004</v>
      </c>
      <c r="AB22" s="386">
        <v>0.55000000000000004</v>
      </c>
      <c r="AC22" s="386">
        <v>0.55000000000000004</v>
      </c>
      <c r="AD22" s="386">
        <v>0.55000000000000004</v>
      </c>
      <c r="AE22" s="386">
        <v>0.55000000000000004</v>
      </c>
      <c r="AF22" s="386">
        <v>0.55000000000000004</v>
      </c>
      <c r="AG22" s="386">
        <v>0.55000000000000004</v>
      </c>
      <c r="AH22" s="386">
        <v>0.55000000000000004</v>
      </c>
      <c r="AI22" s="386">
        <v>0.55600000000000005</v>
      </c>
      <c r="AJ22" s="387">
        <v>0.55600000000000005</v>
      </c>
      <c r="AK22" s="387">
        <v>0.54700000000000004</v>
      </c>
      <c r="AL22" s="387">
        <v>0.54600000000000004</v>
      </c>
      <c r="AM22" s="387">
        <v>0.54500000000000004</v>
      </c>
      <c r="AN22" s="387">
        <v>0.54400000000000004</v>
      </c>
      <c r="AO22" s="387">
        <v>0.54100000000000004</v>
      </c>
      <c r="AP22" s="387">
        <v>0.53800000000000003</v>
      </c>
      <c r="AQ22" s="387">
        <v>0.53600000000000003</v>
      </c>
      <c r="AR22" s="387">
        <v>0.53500000000000003</v>
      </c>
      <c r="AS22" s="387">
        <v>0.53400000000000003</v>
      </c>
      <c r="AT22" s="387">
        <v>0.53600000000000003</v>
      </c>
      <c r="AU22" s="387">
        <v>0.53700000000000003</v>
      </c>
    </row>
    <row r="23" spans="1:47" x14ac:dyDescent="0.2">
      <c r="A23" s="391">
        <v>2006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>
        <v>0.66</v>
      </c>
      <c r="R23" s="386">
        <v>0.54</v>
      </c>
      <c r="S23" s="386">
        <v>0.52</v>
      </c>
      <c r="T23" s="386">
        <v>0.52</v>
      </c>
      <c r="U23" s="386">
        <v>0.52</v>
      </c>
      <c r="V23" s="386">
        <v>0.51</v>
      </c>
      <c r="W23" s="386">
        <v>0.51</v>
      </c>
      <c r="X23" s="386">
        <v>0.51</v>
      </c>
      <c r="Y23" s="386">
        <v>0.51</v>
      </c>
      <c r="Z23" s="386">
        <v>0.51</v>
      </c>
      <c r="AA23" s="386">
        <v>0.51</v>
      </c>
      <c r="AB23" s="386">
        <v>0.51</v>
      </c>
      <c r="AC23" s="386">
        <v>0.51</v>
      </c>
      <c r="AD23" s="386">
        <v>0.51</v>
      </c>
      <c r="AE23" s="386">
        <v>0.51</v>
      </c>
      <c r="AF23" s="386">
        <v>0.51</v>
      </c>
      <c r="AG23" s="386">
        <v>0.51</v>
      </c>
      <c r="AH23" s="386">
        <v>0.51</v>
      </c>
      <c r="AI23" s="386">
        <v>0.51</v>
      </c>
      <c r="AJ23" s="387">
        <v>0.51</v>
      </c>
      <c r="AK23" s="387">
        <v>0.52</v>
      </c>
      <c r="AL23" s="387">
        <v>0.52</v>
      </c>
      <c r="AM23" s="387">
        <v>0.51800000000000002</v>
      </c>
      <c r="AN23" s="387">
        <v>0.51800000000000002</v>
      </c>
      <c r="AO23" s="387">
        <v>0.51600000000000001</v>
      </c>
      <c r="AP23" s="387">
        <v>0.51400000000000001</v>
      </c>
      <c r="AQ23" s="387">
        <v>0.51200000000000001</v>
      </c>
      <c r="AR23" s="387">
        <v>0.51400000000000001</v>
      </c>
      <c r="AS23" s="387">
        <v>0.51400000000000001</v>
      </c>
      <c r="AT23" s="387">
        <v>0.51500000000000001</v>
      </c>
      <c r="AU23" s="387">
        <v>0.51600000000000001</v>
      </c>
    </row>
    <row r="24" spans="1:47" x14ac:dyDescent="0.2">
      <c r="A24" s="391">
        <v>2007</v>
      </c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  <c r="P24" s="386"/>
      <c r="Q24" s="386"/>
      <c r="R24" s="386">
        <v>0.63</v>
      </c>
      <c r="S24" s="386">
        <v>0.64</v>
      </c>
      <c r="T24" s="386">
        <v>0.69</v>
      </c>
      <c r="U24" s="386">
        <v>0.68</v>
      </c>
      <c r="V24" s="386">
        <v>0.68</v>
      </c>
      <c r="W24" s="386">
        <v>0.68</v>
      </c>
      <c r="X24" s="386">
        <v>0.68</v>
      </c>
      <c r="Y24" s="386">
        <v>0.68</v>
      </c>
      <c r="Z24" s="386">
        <v>0.68</v>
      </c>
      <c r="AA24" s="386">
        <v>0.68</v>
      </c>
      <c r="AB24" s="386">
        <v>0.68</v>
      </c>
      <c r="AC24" s="386">
        <v>0.68</v>
      </c>
      <c r="AD24" s="386">
        <v>0.68</v>
      </c>
      <c r="AE24" s="386">
        <v>0.68</v>
      </c>
      <c r="AF24" s="386">
        <v>0.68</v>
      </c>
      <c r="AG24" s="386">
        <v>0.68</v>
      </c>
      <c r="AH24" s="386">
        <v>0.68</v>
      </c>
      <c r="AI24" s="386">
        <v>0.68</v>
      </c>
      <c r="AJ24" s="387">
        <v>0.68</v>
      </c>
      <c r="AK24" s="387">
        <v>0.67</v>
      </c>
      <c r="AL24" s="387">
        <v>0.67</v>
      </c>
      <c r="AM24" s="387">
        <v>0.67</v>
      </c>
      <c r="AN24" s="387">
        <v>0.67</v>
      </c>
      <c r="AO24" s="387">
        <v>0.67</v>
      </c>
      <c r="AP24" s="387">
        <v>0.67</v>
      </c>
      <c r="AQ24" s="387">
        <v>0.65600000000000003</v>
      </c>
      <c r="AR24" s="387">
        <v>0.65600000000000003</v>
      </c>
      <c r="AS24" s="387">
        <v>0.65500000000000003</v>
      </c>
      <c r="AT24" s="387">
        <v>0.66600000000000004</v>
      </c>
      <c r="AU24" s="387">
        <v>0.64300000000000002</v>
      </c>
    </row>
    <row r="25" spans="1:47" x14ac:dyDescent="0.2">
      <c r="A25" s="391">
        <v>2008</v>
      </c>
      <c r="B25" s="386"/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386"/>
      <c r="O25" s="386"/>
      <c r="P25" s="386"/>
      <c r="Q25" s="386"/>
      <c r="R25" s="386"/>
      <c r="S25" s="386">
        <v>0.65</v>
      </c>
      <c r="T25" s="386">
        <v>0.67</v>
      </c>
      <c r="U25" s="386">
        <v>0.67</v>
      </c>
      <c r="V25" s="386">
        <v>0.65</v>
      </c>
      <c r="W25" s="386">
        <v>0.65</v>
      </c>
      <c r="X25" s="386">
        <v>0.65</v>
      </c>
      <c r="Y25" s="386">
        <v>0.65</v>
      </c>
      <c r="Z25" s="386">
        <v>0.65</v>
      </c>
      <c r="AA25" s="386">
        <v>0.65</v>
      </c>
      <c r="AB25" s="386">
        <v>0.65</v>
      </c>
      <c r="AC25" s="386">
        <v>0.65</v>
      </c>
      <c r="AD25" s="386">
        <v>0.65</v>
      </c>
      <c r="AE25" s="386">
        <v>0.64</v>
      </c>
      <c r="AF25" s="386">
        <v>0.64</v>
      </c>
      <c r="AG25" s="386">
        <v>0.64</v>
      </c>
      <c r="AH25" s="386">
        <v>0.64</v>
      </c>
      <c r="AI25" s="386">
        <v>0.64</v>
      </c>
      <c r="AJ25" s="387">
        <v>0.64</v>
      </c>
      <c r="AK25" s="387">
        <v>0.64</v>
      </c>
      <c r="AL25" s="387">
        <v>0.64</v>
      </c>
      <c r="AM25" s="387">
        <v>0.64</v>
      </c>
      <c r="AN25" s="387">
        <v>0.64</v>
      </c>
      <c r="AO25" s="387">
        <v>0.64</v>
      </c>
      <c r="AP25" s="387">
        <v>0.64</v>
      </c>
      <c r="AQ25" s="387">
        <v>0.64</v>
      </c>
      <c r="AR25" s="387">
        <v>0.64</v>
      </c>
      <c r="AS25" s="387">
        <v>0.64</v>
      </c>
      <c r="AT25" s="387">
        <v>0.64</v>
      </c>
      <c r="AU25" s="387">
        <v>0.63400000000000001</v>
      </c>
    </row>
    <row r="26" spans="1:47" x14ac:dyDescent="0.2">
      <c r="A26" s="391">
        <v>2009</v>
      </c>
      <c r="B26" s="386"/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6"/>
      <c r="T26" s="386">
        <v>0.67</v>
      </c>
      <c r="U26" s="386">
        <v>0.67</v>
      </c>
      <c r="V26" s="386">
        <v>0.65</v>
      </c>
      <c r="W26" s="386">
        <v>0.63</v>
      </c>
      <c r="X26" s="386">
        <v>0.63</v>
      </c>
      <c r="Y26" s="386">
        <v>0.63</v>
      </c>
      <c r="Z26" s="386">
        <v>0.63</v>
      </c>
      <c r="AA26" s="386">
        <v>0.63</v>
      </c>
      <c r="AB26" s="386">
        <v>0.63</v>
      </c>
      <c r="AC26" s="386">
        <v>0.63</v>
      </c>
      <c r="AD26" s="386">
        <v>0.62</v>
      </c>
      <c r="AE26" s="386">
        <v>0.62</v>
      </c>
      <c r="AF26" s="386">
        <v>0.62</v>
      </c>
      <c r="AG26" s="386">
        <v>0.62</v>
      </c>
      <c r="AH26" s="386">
        <v>0.62</v>
      </c>
      <c r="AI26" s="386">
        <v>0.62</v>
      </c>
      <c r="AJ26" s="387">
        <v>0.61</v>
      </c>
      <c r="AK26" s="387">
        <v>0.61</v>
      </c>
      <c r="AL26" s="387">
        <v>0.61</v>
      </c>
      <c r="AM26" s="387">
        <v>0.61</v>
      </c>
      <c r="AN26" s="387">
        <v>0.61</v>
      </c>
      <c r="AO26" s="387">
        <v>0.61</v>
      </c>
      <c r="AP26" s="387">
        <v>0.61</v>
      </c>
      <c r="AQ26" s="387">
        <v>0.61</v>
      </c>
      <c r="AR26" s="387">
        <v>0.61</v>
      </c>
      <c r="AS26" s="387">
        <v>0.61</v>
      </c>
      <c r="AT26" s="387">
        <v>0.61</v>
      </c>
      <c r="AU26" s="387">
        <v>0.61</v>
      </c>
    </row>
    <row r="27" spans="1:47" x14ac:dyDescent="0.2">
      <c r="A27" s="391">
        <v>2010</v>
      </c>
      <c r="B27" s="386"/>
      <c r="C27" s="386"/>
      <c r="D27" s="386"/>
      <c r="E27" s="386"/>
      <c r="F27" s="386"/>
      <c r="G27" s="386"/>
      <c r="H27" s="386"/>
      <c r="I27" s="386"/>
      <c r="J27" s="386"/>
      <c r="K27" s="386"/>
      <c r="L27" s="386"/>
      <c r="M27" s="386"/>
      <c r="N27" s="386"/>
      <c r="O27" s="386"/>
      <c r="P27" s="386"/>
      <c r="Q27" s="386"/>
      <c r="R27" s="386"/>
      <c r="S27" s="386"/>
      <c r="T27" s="386"/>
      <c r="U27" s="386">
        <v>0.7</v>
      </c>
      <c r="V27" s="386">
        <v>0.67</v>
      </c>
      <c r="W27" s="386">
        <v>0.67</v>
      </c>
      <c r="X27" s="386">
        <v>0.67</v>
      </c>
      <c r="Y27" s="386">
        <v>0.67</v>
      </c>
      <c r="Z27" s="386">
        <v>0.65</v>
      </c>
      <c r="AA27" s="386">
        <v>0.65</v>
      </c>
      <c r="AB27" s="386">
        <v>0.65</v>
      </c>
      <c r="AC27" s="386">
        <v>0.65</v>
      </c>
      <c r="AD27" s="386">
        <v>0.65</v>
      </c>
      <c r="AE27" s="386">
        <v>0.65</v>
      </c>
      <c r="AF27" s="386">
        <v>0.65</v>
      </c>
      <c r="AG27" s="386">
        <v>0.65</v>
      </c>
      <c r="AH27" s="386">
        <v>0.68</v>
      </c>
      <c r="AI27" s="386">
        <v>0.68</v>
      </c>
      <c r="AJ27" s="387">
        <v>0.68</v>
      </c>
      <c r="AK27" s="387">
        <v>0.68</v>
      </c>
      <c r="AL27" s="387">
        <v>0.68</v>
      </c>
      <c r="AM27" s="387">
        <v>0.68</v>
      </c>
      <c r="AN27" s="387">
        <v>0.68</v>
      </c>
      <c r="AO27" s="387">
        <v>0.68</v>
      </c>
      <c r="AP27" s="387">
        <v>0.68</v>
      </c>
      <c r="AQ27" s="387">
        <v>0.68</v>
      </c>
      <c r="AR27" s="387">
        <v>0.68</v>
      </c>
      <c r="AS27" s="387">
        <v>0.68</v>
      </c>
      <c r="AT27" s="387">
        <v>0.68</v>
      </c>
      <c r="AU27" s="387">
        <v>0.67</v>
      </c>
    </row>
    <row r="28" spans="1:47" x14ac:dyDescent="0.2">
      <c r="A28" s="391">
        <v>2011</v>
      </c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>
        <v>0.67</v>
      </c>
      <c r="W28" s="386">
        <v>0.67</v>
      </c>
      <c r="X28" s="386">
        <v>0.67</v>
      </c>
      <c r="Y28" s="386">
        <v>0.67</v>
      </c>
      <c r="Z28" s="386">
        <v>0.65</v>
      </c>
      <c r="AA28" s="386">
        <v>0.65</v>
      </c>
      <c r="AB28" s="386">
        <v>0.65</v>
      </c>
      <c r="AC28" s="386">
        <v>0.65</v>
      </c>
      <c r="AD28" s="386">
        <v>0.65</v>
      </c>
      <c r="AE28" s="386">
        <v>0.67</v>
      </c>
      <c r="AF28" s="386">
        <v>0.69</v>
      </c>
      <c r="AG28" s="386">
        <v>0.69</v>
      </c>
      <c r="AH28" s="386">
        <v>0.72</v>
      </c>
      <c r="AI28" s="386">
        <v>0.72</v>
      </c>
      <c r="AJ28" s="387">
        <v>0.72</v>
      </c>
      <c r="AK28" s="387">
        <v>0.73</v>
      </c>
      <c r="AL28" s="387">
        <v>0.74</v>
      </c>
      <c r="AM28" s="387">
        <v>0.74</v>
      </c>
      <c r="AN28" s="387">
        <v>0.74</v>
      </c>
      <c r="AO28" s="387">
        <v>0.74</v>
      </c>
      <c r="AP28" s="387">
        <v>0.74</v>
      </c>
      <c r="AQ28" s="387">
        <v>0.74</v>
      </c>
      <c r="AR28" s="387">
        <v>0.74</v>
      </c>
      <c r="AS28" s="387">
        <v>0.74</v>
      </c>
      <c r="AT28" s="387">
        <v>0.74</v>
      </c>
      <c r="AU28" s="387">
        <v>0.74</v>
      </c>
    </row>
    <row r="29" spans="1:47" x14ac:dyDescent="0.2">
      <c r="A29" s="391">
        <v>2012</v>
      </c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>
        <v>0.67</v>
      </c>
      <c r="X29" s="386">
        <v>0.67</v>
      </c>
      <c r="Y29" s="386">
        <v>0.67</v>
      </c>
      <c r="Z29" s="386">
        <v>0.65</v>
      </c>
      <c r="AA29" s="386">
        <v>0.65</v>
      </c>
      <c r="AB29" s="386">
        <v>0.65</v>
      </c>
      <c r="AC29" s="386">
        <v>0.65</v>
      </c>
      <c r="AD29" s="386">
        <v>0.65</v>
      </c>
      <c r="AE29" s="386">
        <v>0.65</v>
      </c>
      <c r="AF29" s="386">
        <v>0.67</v>
      </c>
      <c r="AG29" s="386">
        <v>0.67</v>
      </c>
      <c r="AH29" s="386">
        <v>0.74</v>
      </c>
      <c r="AI29" s="386">
        <v>0.8</v>
      </c>
      <c r="AJ29" s="387">
        <v>0.8</v>
      </c>
      <c r="AK29" s="387">
        <v>0.8</v>
      </c>
      <c r="AL29" s="387">
        <v>0.79</v>
      </c>
      <c r="AM29" s="387">
        <v>0.79</v>
      </c>
      <c r="AN29" s="387">
        <v>0.77</v>
      </c>
      <c r="AO29" s="387">
        <v>0.77</v>
      </c>
      <c r="AP29" s="387">
        <v>0.77</v>
      </c>
      <c r="AQ29" s="387">
        <v>0.77</v>
      </c>
      <c r="AR29" s="387">
        <v>0.77</v>
      </c>
      <c r="AS29" s="387">
        <v>0.78</v>
      </c>
      <c r="AT29" s="387">
        <v>0.78</v>
      </c>
      <c r="AU29" s="387">
        <v>0.78</v>
      </c>
    </row>
    <row r="30" spans="1:47" x14ac:dyDescent="0.2">
      <c r="A30" s="391">
        <v>2013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  <c r="P30" s="386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386">
        <v>0.65</v>
      </c>
      <c r="AB30" s="386">
        <v>0.65</v>
      </c>
      <c r="AC30" s="386">
        <v>0.65</v>
      </c>
      <c r="AD30" s="386">
        <v>0.65</v>
      </c>
      <c r="AE30" s="386">
        <v>0.65</v>
      </c>
      <c r="AF30" s="386">
        <v>0.65</v>
      </c>
      <c r="AG30" s="386">
        <v>0.65</v>
      </c>
      <c r="AH30" s="386">
        <v>0.65</v>
      </c>
      <c r="AI30" s="386">
        <v>0.65</v>
      </c>
      <c r="AJ30" s="387">
        <v>0.65</v>
      </c>
      <c r="AK30" s="387">
        <v>0.65</v>
      </c>
      <c r="AL30" s="387">
        <v>0.63</v>
      </c>
      <c r="AM30" s="387">
        <v>0.61</v>
      </c>
      <c r="AN30" s="387">
        <v>0.59</v>
      </c>
      <c r="AO30" s="387">
        <v>0.59</v>
      </c>
      <c r="AP30" s="387">
        <v>0.59</v>
      </c>
      <c r="AQ30" s="387">
        <v>0.59</v>
      </c>
      <c r="AR30" s="387">
        <v>0.59</v>
      </c>
      <c r="AS30" s="387">
        <v>0.59</v>
      </c>
      <c r="AT30" s="387">
        <v>0.59</v>
      </c>
      <c r="AU30" s="387">
        <v>0.59</v>
      </c>
    </row>
    <row r="31" spans="1:47" x14ac:dyDescent="0.2">
      <c r="A31" s="391">
        <v>2014</v>
      </c>
      <c r="B31" s="386"/>
      <c r="C31" s="386"/>
      <c r="D31" s="386"/>
      <c r="E31" s="386"/>
      <c r="F31" s="386"/>
      <c r="G31" s="386"/>
      <c r="H31" s="386"/>
      <c r="I31" s="386"/>
      <c r="J31" s="386"/>
      <c r="K31" s="386"/>
      <c r="L31" s="386"/>
      <c r="M31" s="386"/>
      <c r="N31" s="386"/>
      <c r="O31" s="386"/>
      <c r="P31" s="386"/>
      <c r="Q31" s="386"/>
      <c r="R31" s="386"/>
      <c r="S31" s="386"/>
      <c r="T31" s="386"/>
      <c r="U31" s="386"/>
      <c r="V31" s="386"/>
      <c r="W31" s="386"/>
      <c r="X31" s="386"/>
      <c r="Y31" s="386"/>
      <c r="Z31" s="386"/>
      <c r="AA31" s="386"/>
      <c r="AB31" s="386"/>
      <c r="AC31" s="386"/>
      <c r="AD31" s="386"/>
      <c r="AE31" s="386">
        <v>0.75</v>
      </c>
      <c r="AF31" s="386">
        <v>0.75</v>
      </c>
      <c r="AG31" s="386">
        <v>0.75</v>
      </c>
      <c r="AH31" s="386">
        <v>0.75</v>
      </c>
      <c r="AI31" s="386">
        <v>0.85</v>
      </c>
      <c r="AJ31" s="387">
        <v>0.85</v>
      </c>
      <c r="AK31" s="387">
        <v>0.8</v>
      </c>
      <c r="AL31" s="387">
        <v>0.77</v>
      </c>
      <c r="AM31" s="387">
        <v>0.77</v>
      </c>
      <c r="AN31" s="387">
        <v>0.75</v>
      </c>
      <c r="AO31" s="387">
        <v>0.75</v>
      </c>
      <c r="AP31" s="387">
        <v>0.75</v>
      </c>
      <c r="AQ31" s="387">
        <v>0.72</v>
      </c>
      <c r="AR31" s="387">
        <v>0.72</v>
      </c>
      <c r="AS31" s="387">
        <v>0.72</v>
      </c>
      <c r="AT31" s="387">
        <v>0.72</v>
      </c>
      <c r="AU31" s="387">
        <v>0.73</v>
      </c>
    </row>
    <row r="32" spans="1:47" x14ac:dyDescent="0.2">
      <c r="A32" s="391">
        <v>2015</v>
      </c>
      <c r="B32" s="386"/>
      <c r="C32" s="386"/>
      <c r="D32" s="386"/>
      <c r="E32" s="386"/>
      <c r="F32" s="386"/>
      <c r="G32" s="386"/>
      <c r="H32" s="386"/>
      <c r="I32" s="386"/>
      <c r="J32" s="386"/>
      <c r="K32" s="386"/>
      <c r="L32" s="386"/>
      <c r="M32" s="386"/>
      <c r="N32" s="386"/>
      <c r="O32" s="386"/>
      <c r="P32" s="386"/>
      <c r="Q32" s="386"/>
      <c r="R32" s="386"/>
      <c r="S32" s="386"/>
      <c r="T32" s="386"/>
      <c r="U32" s="386"/>
      <c r="V32" s="386"/>
      <c r="W32" s="386"/>
      <c r="X32" s="386"/>
      <c r="Y32" s="386"/>
      <c r="Z32" s="386"/>
      <c r="AA32" s="386"/>
      <c r="AB32" s="386"/>
      <c r="AC32" s="386"/>
      <c r="AD32" s="386"/>
      <c r="AE32" s="386"/>
      <c r="AF32" s="386"/>
      <c r="AG32" s="386"/>
      <c r="AH32" s="386"/>
      <c r="AI32" s="386">
        <v>0.75</v>
      </c>
      <c r="AJ32" s="387">
        <v>0.75</v>
      </c>
      <c r="AK32" s="387">
        <v>0.75</v>
      </c>
      <c r="AL32" s="387">
        <v>0.75</v>
      </c>
      <c r="AM32" s="387">
        <v>0.73</v>
      </c>
      <c r="AN32" s="387">
        <v>0.73</v>
      </c>
      <c r="AO32" s="387">
        <v>0.73</v>
      </c>
      <c r="AP32" s="387">
        <v>0.73</v>
      </c>
      <c r="AQ32" s="387">
        <v>0.73</v>
      </c>
      <c r="AR32" s="387">
        <v>0.73</v>
      </c>
      <c r="AS32" s="387">
        <v>0.71</v>
      </c>
      <c r="AT32" s="387">
        <v>0.71</v>
      </c>
      <c r="AU32" s="387">
        <v>0.71</v>
      </c>
    </row>
    <row r="33" spans="1:47" x14ac:dyDescent="0.2">
      <c r="A33" s="391">
        <v>2016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/>
      <c r="R33" s="386"/>
      <c r="S33" s="386"/>
      <c r="T33" s="386"/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7"/>
      <c r="AK33" s="387"/>
      <c r="AL33" s="387"/>
      <c r="AM33" s="387">
        <v>0.73</v>
      </c>
      <c r="AN33" s="387">
        <v>0.73</v>
      </c>
      <c r="AO33" s="387">
        <v>0.73</v>
      </c>
      <c r="AP33" s="387">
        <v>0.73</v>
      </c>
      <c r="AQ33" s="387">
        <v>0.71</v>
      </c>
      <c r="AR33" s="387">
        <v>0.7</v>
      </c>
      <c r="AS33" s="387">
        <v>0.68</v>
      </c>
      <c r="AT33" s="387">
        <v>0.68</v>
      </c>
      <c r="AU33" s="387">
        <v>0.68</v>
      </c>
    </row>
    <row r="34" spans="1:47" x14ac:dyDescent="0.2">
      <c r="A34" s="391">
        <v>2017</v>
      </c>
      <c r="B34" s="386"/>
      <c r="C34" s="386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  <c r="Q34" s="386"/>
      <c r="R34" s="386"/>
      <c r="S34" s="386"/>
      <c r="T34" s="386"/>
      <c r="U34" s="386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7"/>
      <c r="AK34" s="387"/>
      <c r="AL34" s="387"/>
      <c r="AM34" s="387"/>
      <c r="AN34" s="387"/>
      <c r="AO34" s="387"/>
      <c r="AP34" s="387"/>
      <c r="AQ34" s="387">
        <v>0.7</v>
      </c>
      <c r="AR34" s="387">
        <v>0.7</v>
      </c>
      <c r="AS34" s="387">
        <v>0.68</v>
      </c>
      <c r="AT34" s="387">
        <v>0.67</v>
      </c>
      <c r="AU34" s="387">
        <v>0.67</v>
      </c>
    </row>
  </sheetData>
  <mergeCells count="2">
    <mergeCell ref="A2:AN2"/>
    <mergeCell ref="A3:AN3"/>
  </mergeCells>
  <conditionalFormatting sqref="Q8:AN8">
    <cfRule type="colorScale" priority="74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9:AN9">
    <cfRule type="colorScale" priority="74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0:AN10">
    <cfRule type="colorScale" priority="7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1:AN11">
    <cfRule type="colorScale" priority="73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2:AN12">
    <cfRule type="colorScale" priority="73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3:AN13">
    <cfRule type="colorScale" priority="73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4:AN14">
    <cfRule type="colorScale" priority="73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5:AN15">
    <cfRule type="colorScale" priority="73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6:AN16">
    <cfRule type="colorScale" priority="73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7:AN17">
    <cfRule type="colorScale" priority="73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8:AN18">
    <cfRule type="colorScale" priority="73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19:AN19">
    <cfRule type="colorScale" priority="72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20:AN20">
    <cfRule type="colorScale" priority="72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21:AN21">
    <cfRule type="colorScale" priority="72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22:AN22">
    <cfRule type="colorScale" priority="7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23:AN23">
    <cfRule type="colorScale" priority="72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8:AO8">
    <cfRule type="colorScale" priority="6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AO9">
    <cfRule type="colorScale" priority="6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AO10">
    <cfRule type="colorScale" priority="6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1:AO11">
    <cfRule type="colorScale" priority="6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:AO12">
    <cfRule type="colorScale" priority="6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:AO13">
    <cfRule type="colorScale" priority="6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:AO14">
    <cfRule type="colorScale" priority="6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5:AO15">
    <cfRule type="colorScale" priority="6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6:AO16">
    <cfRule type="colorScale" priority="6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AO17">
    <cfRule type="colorScale" priority="6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:AO18">
    <cfRule type="colorScale" priority="6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9:AO19">
    <cfRule type="colorScale" priority="6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AO20">
    <cfRule type="colorScale" priority="6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AO21">
    <cfRule type="colorScale" priority="6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2:AO22">
    <cfRule type="colorScale" priority="6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:AO23">
    <cfRule type="colorScale" priority="6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AP8">
    <cfRule type="colorScale" priority="6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AP9">
    <cfRule type="colorScale" priority="6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AP10">
    <cfRule type="colorScale" priority="6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1:AP11">
    <cfRule type="colorScale" priority="6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:AP12">
    <cfRule type="colorScale" priority="6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:AP13">
    <cfRule type="colorScale" priority="6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:AP14">
    <cfRule type="colorScale" priority="6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5:AP15">
    <cfRule type="colorScale" priority="6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6:AP16">
    <cfRule type="colorScale" priority="6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AP17">
    <cfRule type="colorScale" priority="6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:AP18">
    <cfRule type="colorScale" priority="5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9:AP19">
    <cfRule type="colorScale" priority="5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AP20">
    <cfRule type="colorScale" priority="5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AP21">
    <cfRule type="colorScale" priority="5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2:AP22">
    <cfRule type="colorScale" priority="5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:AP23">
    <cfRule type="colorScale" priority="5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AQ8">
    <cfRule type="colorScale" priority="5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AQ9">
    <cfRule type="colorScale" priority="5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AQ10">
    <cfRule type="colorScale" priority="5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1:AQ11">
    <cfRule type="colorScale" priority="5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:AQ12">
    <cfRule type="colorScale" priority="5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:AQ13">
    <cfRule type="colorScale" priority="5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:AQ14">
    <cfRule type="colorScale" priority="5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5:AQ15">
    <cfRule type="colorScale" priority="5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6:AQ16">
    <cfRule type="colorScale" priority="4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AQ17">
    <cfRule type="colorScale" priority="4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:AQ18">
    <cfRule type="colorScale" priority="4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9:AQ19">
    <cfRule type="colorScale" priority="4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AQ20">
    <cfRule type="colorScale" priority="4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AQ21">
    <cfRule type="colorScale" priority="4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2:AQ22">
    <cfRule type="colorScale" priority="4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:AQ23">
    <cfRule type="colorScale" priority="4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AR8">
    <cfRule type="colorScale" priority="3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AR9">
    <cfRule type="colorScale" priority="3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AR10">
    <cfRule type="colorScale" priority="3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1:AR11">
    <cfRule type="colorScale" priority="3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:AR12">
    <cfRule type="colorScale" priority="3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:AR13">
    <cfRule type="colorScale" priority="3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:AR14">
    <cfRule type="colorScale" priority="3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5:AR15">
    <cfRule type="colorScale" priority="3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6:AR16">
    <cfRule type="colorScale" priority="3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AR17">
    <cfRule type="colorScale" priority="3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:AR18">
    <cfRule type="colorScale" priority="3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9:AR19">
    <cfRule type="colorScale" priority="3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AR20">
    <cfRule type="colorScale" priority="3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AR21">
    <cfRule type="colorScale" priority="3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2:AR22">
    <cfRule type="colorScale" priority="3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:AR23">
    <cfRule type="colorScale" priority="3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AT8">
    <cfRule type="colorScale" priority="2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AT9"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AT10">
    <cfRule type="colorScale" priority="2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1:AT11">
    <cfRule type="colorScale" priority="2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:AT12">
    <cfRule type="colorScale" priority="2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:AT13">
    <cfRule type="colorScale" priority="2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:AT14"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5:AT15">
    <cfRule type="colorScale" priority="1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6:AT16">
    <cfRule type="colorScale" priority="2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AT17">
    <cfRule type="colorScale" priority="2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:AT18">
    <cfRule type="colorScale" priority="2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9:AT19">
    <cfRule type="colorScale" priority="2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AT20"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AT21">
    <cfRule type="colorScale" priority="1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2:AT22">
    <cfRule type="colorScale" priority="1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:AT23">
    <cfRule type="colorScale" priority="1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AU8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AU9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AU10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1:AU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:AU1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:AU1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:AU1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5:AU15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6:AU1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AU1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:AU1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9:AU1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AU2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AU21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2:AU22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:AU2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4:AN24">
    <cfRule type="colorScale" priority="72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R24:AO24">
    <cfRule type="colorScale" priority="6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4:AP24">
    <cfRule type="colorScale" priority="5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4:AQ24">
    <cfRule type="colorScale" priority="4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4:AR24">
    <cfRule type="colorScale" priority="3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4:AT24">
    <cfRule type="colorScale" priority="1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4:AU24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5:AN25">
    <cfRule type="colorScale" priority="7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S25:AO25">
    <cfRule type="colorScale" priority="6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5:AP25">
    <cfRule type="colorScale" priority="5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5:AQ25">
    <cfRule type="colorScale" priority="4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5:AR25">
    <cfRule type="colorScale" priority="3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5:AT25"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5:AU25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:AN26">
    <cfRule type="colorScale" priority="72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T26:AO26">
    <cfRule type="colorScale" priority="6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:AP26">
    <cfRule type="colorScale" priority="5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:AQ26">
    <cfRule type="colorScale" priority="4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:AR26">
    <cfRule type="colorScale" priority="3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:AT26">
    <cfRule type="colorScale" priority="1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:AU26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7:AN27">
    <cfRule type="colorScale" priority="72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U27:AO27">
    <cfRule type="colorScale" priority="6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7:AP27">
    <cfRule type="colorScale" priority="5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7:AQ27">
    <cfRule type="colorScale" priority="4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7:AR27">
    <cfRule type="colorScale" priority="3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7:AU2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8:AN28">
    <cfRule type="colorScale" priority="72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V28:AO28">
    <cfRule type="colorScale" priority="6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8:AP28">
    <cfRule type="colorScale" priority="5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8:AQ28">
    <cfRule type="colorScale" priority="4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8:AR28">
    <cfRule type="colorScale" priority="3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8:AT28">
    <cfRule type="colorScale" priority="1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8:AU28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29:AN29">
    <cfRule type="colorScale" priority="71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Z29:AO29">
    <cfRule type="colorScale" priority="6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29:AP29">
    <cfRule type="colorScale" priority="5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29:AQ29">
    <cfRule type="colorScale" priority="4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29:AR29">
    <cfRule type="colorScale" priority="3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29:AU29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0:AN30">
    <cfRule type="colorScale" priority="71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A30:AO30">
    <cfRule type="colorScale" priority="6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0:AP30">
    <cfRule type="colorScale" priority="5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0:AQ30">
    <cfRule type="colorScale" priority="4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0:AR30">
    <cfRule type="colorScale" priority="3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0:AT30">
    <cfRule type="colorScale" priority="1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0:AU30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31:AN31">
    <cfRule type="colorScale" priority="71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E31:AO31">
    <cfRule type="colorScale" priority="6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31:AP31">
    <cfRule type="colorScale" priority="5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31:AQ31">
    <cfRule type="colorScale" priority="4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31:AR31">
    <cfRule type="colorScale" priority="3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31:AT31">
    <cfRule type="colorScale" priority="1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31:AU31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32:AO32">
    <cfRule type="colorScale" priority="6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32:AP32">
    <cfRule type="colorScale" priority="5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32:AQ32">
    <cfRule type="colorScale" priority="4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32:AR32">
    <cfRule type="colorScale" priority="3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32:AT32"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32:AU32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3:AO33">
    <cfRule type="colorScale" priority="6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4:AO34">
    <cfRule type="colorScale" priority="3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3:AP33">
    <cfRule type="colorScale" priority="5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4:AP34">
    <cfRule type="colorScale" priority="3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3:AQ33">
    <cfRule type="colorScale" priority="4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4:AQ34">
    <cfRule type="colorScale" priority="3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3:AR33">
    <cfRule type="colorScale" priority="3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3:AT33">
    <cfRule type="colorScale" priority="1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33:AU33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8">
    <cfRule type="colorScale" priority="71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9">
    <cfRule type="colorScale" priority="71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0">
    <cfRule type="colorScale" priority="71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1">
    <cfRule type="colorScale" priority="71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2">
    <cfRule type="colorScale" priority="71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3">
    <cfRule type="colorScale" priority="70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4">
    <cfRule type="colorScale" priority="70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5">
    <cfRule type="colorScale" priority="70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6">
    <cfRule type="colorScale" priority="70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7">
    <cfRule type="colorScale" priority="70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8">
    <cfRule type="colorScale" priority="70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19">
    <cfRule type="colorScale" priority="70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0">
    <cfRule type="colorScale" priority="70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1">
    <cfRule type="colorScale" priority="70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2">
    <cfRule type="colorScale" priority="70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3">
    <cfRule type="colorScale" priority="69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4">
    <cfRule type="colorScale" priority="69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5">
    <cfRule type="colorScale" priority="69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6">
    <cfRule type="colorScale" priority="69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7">
    <cfRule type="colorScale" priority="69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8">
    <cfRule type="colorScale" priority="69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29">
    <cfRule type="colorScale" priority="69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30">
    <cfRule type="colorScale" priority="69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O31">
    <cfRule type="colorScale" priority="69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8">
    <cfRule type="colorScale" priority="6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9">
    <cfRule type="colorScale" priority="6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10">
    <cfRule type="colorScale" priority="6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11">
    <cfRule type="colorScale" priority="6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12">
    <cfRule type="colorScale" priority="65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3">
    <cfRule type="colorScale" priority="65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4">
    <cfRule type="colorScale" priority="65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5">
    <cfRule type="colorScale" priority="65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6">
    <cfRule type="colorScale" priority="65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7">
    <cfRule type="colorScale" priority="65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8">
    <cfRule type="colorScale" priority="64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9">
    <cfRule type="colorScale" priority="62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4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20">
    <cfRule type="colorScale" priority="64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1">
    <cfRule type="colorScale" priority="6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4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22">
    <cfRule type="colorScale" priority="64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3">
    <cfRule type="colorScale" priority="62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4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24">
    <cfRule type="colorScale" priority="64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5">
    <cfRule type="colorScale" priority="64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6">
    <cfRule type="colorScale" priority="64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7">
    <cfRule type="colorScale" priority="64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8">
    <cfRule type="colorScale" priority="63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9">
    <cfRule type="colorScale" priority="63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P30">
    <cfRule type="colorScale" priority="63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31">
    <cfRule type="colorScale" priority="63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32">
    <cfRule type="colorScale" priority="6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33">
    <cfRule type="colorScale" priority="6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34">
    <cfRule type="colorScale" priority="3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8">
    <cfRule type="colorScale" priority="58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3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9">
    <cfRule type="colorScale" priority="58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3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0">
    <cfRule type="colorScale" priority="53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3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8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Q11">
    <cfRule type="colorScale" priority="53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8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2">
    <cfRule type="colorScale" priority="57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3">
    <cfRule type="colorScale" priority="52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7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Q14">
    <cfRule type="colorScale" priority="57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2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5">
    <cfRule type="colorScale" priority="57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2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6">
    <cfRule type="colorScale" priority="57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2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7">
    <cfRule type="colorScale" priority="57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8">
    <cfRule type="colorScale" priority="54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7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9">
    <cfRule type="colorScale" priority="57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4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0">
    <cfRule type="colorScale" priority="57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4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1">
    <cfRule type="colorScale" priority="52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7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2">
    <cfRule type="colorScale" priority="5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Q23">
    <cfRule type="colorScale" priority="51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Q24">
    <cfRule type="colorScale" priority="51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Q25">
    <cfRule type="colorScale" priority="5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Q26">
    <cfRule type="colorScale" priority="5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7">
    <cfRule type="colorScale" priority="5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8">
    <cfRule type="colorScale" priority="5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9">
    <cfRule type="colorScale" priority="5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0">
    <cfRule type="colorScale" priority="5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1">
    <cfRule type="colorScale" priority="5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2">
    <cfRule type="colorScale" priority="5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3">
    <cfRule type="colorScale" priority="5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4">
    <cfRule type="colorScale" priority="37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4:AR34">
    <cfRule type="colorScale" priority="3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4:AT34">
    <cfRule type="colorScale" priority="1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34:AU34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8">
    <cfRule type="colorScale" priority="40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8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9">
    <cfRule type="colorScale" priority="4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8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10">
    <cfRule type="colorScale" priority="43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11">
    <cfRule type="colorScale" priority="43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2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12">
    <cfRule type="colorScale" priority="42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13">
    <cfRule type="colorScale" priority="47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2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4">
    <cfRule type="colorScale" priority="42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5">
    <cfRule type="colorScale" priority="4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6">
    <cfRule type="colorScale" priority="47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2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7">
    <cfRule type="colorScale" priority="42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4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8">
    <cfRule type="colorScale" priority="47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4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9">
    <cfRule type="colorScale" priority="4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2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20">
    <cfRule type="colorScale" priority="44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21">
    <cfRule type="colorScale" priority="468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1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22">
    <cfRule type="colorScale" priority="44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23">
    <cfRule type="colorScale" priority="46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9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4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24">
    <cfRule type="colorScale" priority="46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25">
    <cfRule type="colorScale" priority="38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26">
    <cfRule type="colorScale" priority="4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27">
    <cfRule type="colorScale" priority="45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28">
    <cfRule type="colorScale" priority="38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29">
    <cfRule type="colorScale" priority="3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R30">
    <cfRule type="colorScale" priority="45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8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31">
    <cfRule type="colorScale" priority="38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8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32">
    <cfRule type="colorScale" priority="45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33">
    <cfRule type="colorScale" priority="38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34">
    <cfRule type="colorScale" priority="37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8:AT8">
    <cfRule type="colorScale" priority="29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6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9:AT9">
    <cfRule type="colorScale" priority="29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6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0:AT10">
    <cfRule type="colorScale" priority="29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1:AT11"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12:AT12">
    <cfRule type="colorScale" priority="28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13:AT13">
    <cfRule type="colorScale" priority="28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14:AT14">
    <cfRule type="colorScale" priority="28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5:AT15"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16:AT16"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17:AT17">
    <cfRule type="colorScale" priority="28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8:AT18">
    <cfRule type="colorScale" priority="28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19:AT19">
    <cfRule type="colorScale" priority="30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8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0:AT20">
    <cfRule type="colorScale" priority="28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0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1:AT21"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0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2:AT22">
    <cfRule type="colorScale" priority="328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0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3:AT23">
    <cfRule type="colorScale" priority="22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7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4:AT24">
    <cfRule type="colorScale" priority="22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5:AT25">
    <cfRule type="colorScale" priority="22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26:AT26"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27:AT27">
    <cfRule type="colorScale" priority="27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28:AT28">
    <cfRule type="colorScale" priority="27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S29:AT29">
    <cfRule type="colorScale" priority="27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30:AT30">
    <cfRule type="colorScale" priority="27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31:AT31"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32:AT32">
    <cfRule type="colorScale" priority="26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33:AT33">
    <cfRule type="colorScale" priority="29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34:AT34">
    <cfRule type="colorScale" priority="2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8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3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9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0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0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0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1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0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2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3">
    <cfRule type="colorScale" priority="14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4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5">
    <cfRule type="colorScale" priority="10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8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6">
    <cfRule type="colorScale" priority="17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4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7">
    <cfRule type="colorScale" priority="14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2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8">
    <cfRule type="colorScale" priority="17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9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0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2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1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5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2">
    <cfRule type="colorScale" priority="17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3">
    <cfRule type="colorScale" priority="17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4">
    <cfRule type="colorScale" priority="16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5"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8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6">
    <cfRule type="colorScale" priority="15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1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7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5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28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U29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U30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U31">
    <cfRule type="colorScale" priority="16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32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33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34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.5" right="0.5" top="0.5" bottom="0.5" header="0.5" footer="0.5"/>
  <pageSetup paperSize="5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Burden Inputs</vt:lpstr>
      <vt:lpstr>Cash &amp; Detail</vt:lpstr>
      <vt:lpstr>Logic</vt:lpstr>
      <vt:lpstr>My Exhibit</vt:lpstr>
      <vt:lpstr>Exhibit 1</vt:lpstr>
      <vt:lpstr>Exhibit 2</vt:lpstr>
      <vt:lpstr>Exhibit 3</vt:lpstr>
      <vt:lpstr>Exhibit 4</vt:lpstr>
      <vt:lpstr>Hist LRs</vt:lpstr>
      <vt:lpstr>Summary</vt:lpstr>
      <vt:lpstr>Disc Fact Premium</vt:lpstr>
      <vt:lpstr>Disc Fact Paid Loss</vt:lpstr>
      <vt:lpstr>Web - Summary</vt:lpstr>
      <vt:lpstr>Web - Disc Fact Premium</vt:lpstr>
      <vt:lpstr>Web - Disc Fact Paid Loss</vt:lpstr>
      <vt:lpstr>'Exhibit 1'!Print_Area</vt:lpstr>
      <vt:lpstr>'Exhibit 2'!Print_Area</vt:lpstr>
      <vt:lpstr>'Exhibit 3'!Print_Area</vt:lpstr>
      <vt:lpstr>'Exhibit 4'!Print_Area</vt:lpstr>
      <vt:lpstr>'Web - Summary'!Print_Area</vt:lpstr>
    </vt:vector>
  </TitlesOfParts>
  <Company>wcrib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C.</dc:creator>
  <cp:lastModifiedBy>Laura Kirchberg</cp:lastModifiedBy>
  <cp:lastPrinted>2023-07-12T13:31:40Z</cp:lastPrinted>
  <dcterms:created xsi:type="dcterms:W3CDTF">2004-09-30T12:59:47Z</dcterms:created>
  <dcterms:modified xsi:type="dcterms:W3CDTF">2026-07-21T18:25:15Z</dcterms:modified>
</cp:coreProperties>
</file>